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441\Desktop\"/>
    </mc:Choice>
  </mc:AlternateContent>
  <xr:revisionPtr revIDLastSave="0" documentId="8_{EFE4FA8A-8256-4DF4-A7E6-2A529D0656F6}" xr6:coauthVersionLast="36" xr6:coauthVersionMax="36" xr10:uidLastSave="{00000000-0000-0000-0000-000000000000}"/>
  <bookViews>
    <workbookView xWindow="0" yWindow="0" windowWidth="23040" windowHeight="10380" xr2:uid="{00000000-000D-0000-FFFF-FFFF00000000}"/>
  </bookViews>
  <sheets>
    <sheet name="Hoja 1" sheetId="1" r:id="rId1"/>
  </sheets>
  <definedNames>
    <definedName name="_xlnm._FilterDatabase" localSheetId="0" hidden="1">'Hoja 1'!$A$2:$P$2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97" i="1" l="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<sst xmlns="http://schemas.openxmlformats.org/spreadsheetml/2006/main" count="1251" uniqueCount="336">
  <si>
    <t>Organismo</t>
  </si>
  <si>
    <t>Expte+PLACSP</t>
  </si>
  <si>
    <t>Lote</t>
  </si>
  <si>
    <t>Objeto</t>
  </si>
  <si>
    <t>Proced.</t>
  </si>
  <si>
    <t>Tipología</t>
  </si>
  <si>
    <t>Ejecución</t>
  </si>
  <si>
    <t>Resultado</t>
  </si>
  <si>
    <t>PBL</t>
  </si>
  <si>
    <t>F.Acuerdo</t>
  </si>
  <si>
    <t>F. Formalización</t>
  </si>
  <si>
    <t>Imp.Adjudica</t>
  </si>
  <si>
    <t>Adjudicatario</t>
  </si>
  <si>
    <t>NIF</t>
  </si>
  <si>
    <t>PYME</t>
  </si>
  <si>
    <t>Denominación Lote</t>
  </si>
  <si>
    <t>Presidencia de la Diputación Provincial de Ourense</t>
  </si>
  <si>
    <t>E</t>
  </si>
  <si>
    <t>Servicio de explotación y mantenimiento de las infraestructuras del abastecimiento en alta Razamonde–San Trocado, de los municipios de Cenlle, Punxín y San Amaro</t>
  </si>
  <si>
    <t>Abierto</t>
  </si>
  <si>
    <t>Servicios</t>
  </si>
  <si>
    <t>48 MESES</t>
  </si>
  <si>
    <t>Adjudicado</t>
  </si>
  <si>
    <t>27 jun 2025</t>
  </si>
  <si>
    <t>-</t>
  </si>
  <si>
    <t>S.A. DE GESTIÓN DE SERVICIOS Y CONSERVACIÓN, GESECO</t>
  </si>
  <si>
    <t>A81527095</t>
  </si>
  <si>
    <t>Sin lotes</t>
  </si>
  <si>
    <t>Patrocinio del Festival Musical “OuYeah!”</t>
  </si>
  <si>
    <t>Negociado sin publicidad</t>
  </si>
  <si>
    <t>Privado</t>
  </si>
  <si>
    <t>4 MESES</t>
  </si>
  <si>
    <t>Formalizado</t>
  </si>
  <si>
    <t>UTE THINKINGUPEVENTS, S.L. - ESCENA SONORA PRODUCCIÓN CULTURAL, S.L.</t>
  </si>
  <si>
    <t>U21902259</t>
  </si>
  <si>
    <t>Contratación de la gestión, investigación y coordinación del estudio que el impacto del cambio climático sobre las aguas termales y su aprovechamiento sostenible dentro del proyecto Thermecowat</t>
  </si>
  <si>
    <t>18 MESES</t>
  </si>
  <si>
    <t>25 jun 2025</t>
  </si>
  <si>
    <t>Around Europe Advisors, Lda.</t>
  </si>
  <si>
    <t>513320849</t>
  </si>
  <si>
    <t>Sustitución obra de paso OU-1110 P.Q. 14+100, nº. 10/16/2025 - Municipio de Calvos de Randín</t>
  </si>
  <si>
    <t>Obras</t>
  </si>
  <si>
    <t>1 MES</t>
  </si>
  <si>
    <t>18 jun 2025</t>
  </si>
  <si>
    <t>HORDESCON, S.L.</t>
  </si>
  <si>
    <t>B32108334</t>
  </si>
  <si>
    <t>Contratación de la prestación del servicio para la elaboración de un Plan Director de Inteligencia Artificial para la Diputación Provincial de Ourense</t>
  </si>
  <si>
    <t>6 MESES</t>
  </si>
  <si>
    <t>Desierto</t>
  </si>
  <si>
    <t>9 jun 2025</t>
  </si>
  <si>
    <t>Sin adjudicatario</t>
  </si>
  <si>
    <t>Sin CIF</t>
  </si>
  <si>
    <t>Sin valor</t>
  </si>
  <si>
    <t>Sistemas de contención de puentes en carreteras provinciales. Zona norte, nº. 8/16/2025 - Provincia de Ourense</t>
  </si>
  <si>
    <t>SEÑALIZACIONES PEÑA S.L.</t>
  </si>
  <si>
    <t>B32271256</t>
  </si>
  <si>
    <t>Abatimientos de barrera de seguridad adaptados a la nueva normativa, n.º 7/16/2025, Zona oeste - Provincia de Ourense</t>
  </si>
  <si>
    <t>11 jun 2025</t>
  </si>
  <si>
    <t>Refuerzo del firme en la carretera OU-1109 Baltar (OU-1110) - frontera portuguesa, n.º 62/16/2024 - Municipio de Baltar</t>
  </si>
  <si>
    <t>30 may 2025</t>
  </si>
  <si>
    <t>16 jun 2025</t>
  </si>
  <si>
    <t>CONSTRUCCIONES Y OBRAS TABOADA RAMOS SLU</t>
  </si>
  <si>
    <t>B94181807</t>
  </si>
  <si>
    <t>Refuerzo de firme en las carreteras de la zona oeste, OU-0409 Maside (N-541) - Garabás (OU-0405) y OU-0529 Gustei (N-525) - Vilarchao (OU-0505), n.º 64/16/2024 - Municipios de Maside y Coles</t>
  </si>
  <si>
    <t>26 may 2025</t>
  </si>
  <si>
    <t>4 jun 2025</t>
  </si>
  <si>
    <t>Extraco, Construccions e Proxectos, S.A.</t>
  </si>
  <si>
    <t>A32002644</t>
  </si>
  <si>
    <t>Instalación de barrera de seguridad en la OU-0107 Maceda (OU-104) - Alto do Rodicio (OU-536), n.º 4/16/2025 - Municipio de Maceda</t>
  </si>
  <si>
    <t>2 jun 2025</t>
  </si>
  <si>
    <t>Barreras de Seguridad, S.L.</t>
  </si>
  <si>
    <t>B32204620</t>
  </si>
  <si>
    <t>Suministro de papel DIN A4 y DIN A3 en cajas con destino a los equipos de impresión y reprografía de la Diputación provincial de Ourense</t>
  </si>
  <si>
    <t>Suministros</t>
  </si>
  <si>
    <t>12 MESES</t>
  </si>
  <si>
    <t>21 may 2025</t>
  </si>
  <si>
    <t>PAIPEL-OR SL</t>
  </si>
  <si>
    <t>B32164873</t>
  </si>
  <si>
    <t xml:space="preserve">Asistencia técnica para el diseño y ejecución de un plan de marketing online “Ourense Termal” del “PSTD Ourense coge velocidad, villas históricas y termales”, actuación cofinanciada por la Axencia de </t>
  </si>
  <si>
    <t>9 MESES</t>
  </si>
  <si>
    <t>20 may 2025</t>
  </si>
  <si>
    <t>29 may 2025</t>
  </si>
  <si>
    <t>Corre Lola Corre, S.L.</t>
  </si>
  <si>
    <t>B27822196</t>
  </si>
  <si>
    <t>Servicio de protección de datos de carácter personal y designación de delegado de protección de datos (DPD) de la Diputación provincial de Ourense</t>
  </si>
  <si>
    <t>24 MESES</t>
  </si>
  <si>
    <t>22 may 2025</t>
  </si>
  <si>
    <t>AUDIDAT 30, S.L.</t>
  </si>
  <si>
    <t>B02482545</t>
  </si>
  <si>
    <t>Suministro  de productos zoosanitarios y consumibles necesarios en los centros de acogida de la red provincial de perreras de la Diputación Provincial de Ourense</t>
  </si>
  <si>
    <t>16 may 2025</t>
  </si>
  <si>
    <t>Servicio de gestión (recogida en punto limpio, transporte y entrega a gestor) de los residuos de metales recepcionados en los 17 puntos limpios de la Diputación Provincial de Ourense</t>
  </si>
  <si>
    <t>12 may 2025</t>
  </si>
  <si>
    <t>13 may 2025</t>
  </si>
  <si>
    <t>Contenedores Escor Vitoria, S.L.</t>
  </si>
  <si>
    <t>B01254952</t>
  </si>
  <si>
    <t>Acondicionamiento y mejora integral en la OU-0517 Ourense (N-525) - A Merca (OU-0207) del p.k. 5+560 al 6+745 (fase 3), n.º 2/16/2025 - Municipio de  San Cibrao das Viñas</t>
  </si>
  <si>
    <t>9 may 2025</t>
  </si>
  <si>
    <t>Restauración de las fachadas del Palacio Provincial, n.º 6/16/2025 - Municipio de Ourense</t>
  </si>
  <si>
    <t>3 MESES</t>
  </si>
  <si>
    <t>8 may 2025</t>
  </si>
  <si>
    <t>Explotacions Medioambientais S.L.U.</t>
  </si>
  <si>
    <t>B32274581</t>
  </si>
  <si>
    <t>Patrocinio del festival musical “Ouren Sound Fest 2025”</t>
  </si>
  <si>
    <t>4 DÍAS</t>
  </si>
  <si>
    <t>10 may 2025</t>
  </si>
  <si>
    <t>OURENROCKSOUND PRODUCCIONS SL</t>
  </si>
  <si>
    <t>B32487050</t>
  </si>
  <si>
    <t>No PYME</t>
  </si>
  <si>
    <t>Arrendamiento en régimen de alquiler, de un local para albergar el Obradoiro de gaitas e instrumentos musicales de la Diputación Provincial de Ourense</t>
  </si>
  <si>
    <t>5 may 2025</t>
  </si>
  <si>
    <t>Mercedes de Paula Pombar</t>
  </si>
  <si>
    <t>34607094Y</t>
  </si>
  <si>
    <t>Acondicionamiento y mejora integral en la OU-0308 O Sifón (OU-212) - Límite provincia de Pontevedra, n.º 59/16/2024 - Municipio de Avión</t>
  </si>
  <si>
    <t>30 abr 2025</t>
  </si>
  <si>
    <t>12 jun 2025</t>
  </si>
  <si>
    <t>Microaglomerado en las carreteras de la da zona oeste, nº 3/16/2025 - Municipios de Ribadavia, Cenlle y Boborás</t>
  </si>
  <si>
    <t>29 abr 2025</t>
  </si>
  <si>
    <t>PROBISA VIAS Y OBRAS SLU</t>
  </si>
  <si>
    <t>B85826899</t>
  </si>
  <si>
    <t>Refuerzo de firme con mezcla asfáltica en la OU-0808 OU-622 - Vila de Castro, p. q. 0+140 a 1+500, nº. 1/16/2025 - Municipio de O Barco de Valdeorras</t>
  </si>
  <si>
    <t>24 abr 2025</t>
  </si>
  <si>
    <t>AGLOMERADOS Y CONSTRUCCIONES VALDEORRAS, S.A.</t>
  </si>
  <si>
    <t>A32008039</t>
  </si>
  <si>
    <t>Humanización del entorno y ejecución de parque de juegos de agua en el entorno “Monte dos Chaos” (mini-parque terma lúdico- pedagógico), actuación incluida en el PST en Ourense Termal</t>
  </si>
  <si>
    <t>7 may 2025</t>
  </si>
  <si>
    <t>COMSA SERVICE FACILITY MANAGEMENT SAU</t>
  </si>
  <si>
    <t>A60470127</t>
  </si>
  <si>
    <t>Obras de ampliación y mejora de la seguridad de acceso al balneario histórico de Cortegada. NEXTGENERATION</t>
  </si>
  <si>
    <t>22 abr 2025</t>
  </si>
  <si>
    <t>CAMIÑOS DE OURENSE, S.L.</t>
  </si>
  <si>
    <t>B32430316</t>
  </si>
  <si>
    <t>Refuerzo firme en carreteras OU-0508 Ponte dos Gozos (OU-536) - Parada de Sil (OU-0604) y OU-0807 Vilamartín (N-536) - S. Vicente, n.º66/16/2024 - Municipios Nogueira de Ramuín y Vilamartín Valdeorras</t>
  </si>
  <si>
    <t>25 abr 2025</t>
  </si>
  <si>
    <t>OBRAS, PAVIMENTOS E INSTALACIONES INDUSTRIALES, S.L.</t>
  </si>
  <si>
    <t>B36719490</t>
  </si>
  <si>
    <t>Refuerzo de firme con MBQ en la OU-0513 Calle de Rairo - Cumial (OU-105), n.º 65/16/2024 - Municipio de Ourense</t>
  </si>
  <si>
    <t>16 abr 2025</t>
  </si>
  <si>
    <t>Mejora de la seguridad vial en las travesías de Pousa y Mixós (fase 2ª), n.º 60/16/2024 - Municipio de Monterrei</t>
  </si>
  <si>
    <t>15 abr 2025</t>
  </si>
  <si>
    <t>OBRAS E ESTRADAS CARREIRA BELLA, SL</t>
  </si>
  <si>
    <t>B32294662</t>
  </si>
  <si>
    <t>Creación de senda peatonal y recogida de pluviales en la OU-1153, en el núcleo de Moreiras, n.º 61/16/2024 - Municipio de Xinzo de Limia</t>
  </si>
  <si>
    <t>14 abr 2025</t>
  </si>
  <si>
    <t>4</t>
  </si>
  <si>
    <t>Suministro de cinco vehículos recolectores de carga trasera de residuos municipales de 8-9 m3 con destino al Servicio de Aguas y Medio Ambiente</t>
  </si>
  <si>
    <t>360 DÍAS</t>
  </si>
  <si>
    <t>3 abr 2025</t>
  </si>
  <si>
    <t>EQUIPOS FEMAZZ S.L</t>
  </si>
  <si>
    <t>B87939955</t>
  </si>
  <si>
    <t>Lote 4: suministro de un vehículo recolector de carga trasera de residuos municipales de 8-9 m3 matriculado y legalizado con destino al Servicio de Aguas y Medio Ambiente (Negociado de Xestión Intermu</t>
  </si>
  <si>
    <t>2</t>
  </si>
  <si>
    <t>Lote 2: suministro de un vehículo recolector de carga trasera de residuos municipales de 8-9 m3 matriculado y legalizado con destino al Servicio de Aguas y Medio Ambiente (Negociado de Xestión Intermu</t>
  </si>
  <si>
    <t>5</t>
  </si>
  <si>
    <t>Lote 5: suministro de un vehículo recolector de carga trasera de residuos municipales de 8-9 m3 matriculado y legalizado con destino al Servicio de Aguas y Medio Ambiente (Negociado de Xestión Intermu</t>
  </si>
  <si>
    <t>1</t>
  </si>
  <si>
    <t>Lote 1: suministro de un vehículo recolector de carga trasera de residuos municipales de 8-9 m3 matriculado y legalizado con destino al Servicio de Aguas y Medio Ambiente (Negociado de Xestión Intermu</t>
  </si>
  <si>
    <t>3</t>
  </si>
  <si>
    <t>Lote 3: suministro de un vehículo recolector de carga trasera de residuos municipales de 8-9 m3 matriculado y legalizado con destino al Servicio de Aguas y Medio Ambiente (Negociado de Xestión Intermu</t>
  </si>
  <si>
    <t>Enajenación, con destino a su reciclaje, de los residuos de la fracción papel-cartón recogidos por el Área de  Medio Ambiente de la Diputación Provincial de Ourense</t>
  </si>
  <si>
    <t>26 mar 2025</t>
  </si>
  <si>
    <t>27 mar 2025</t>
  </si>
  <si>
    <t>UTRAMIC, SL</t>
  </si>
  <si>
    <t>B15356553</t>
  </si>
  <si>
    <t>Patrocinio del rodaje del largometraje “TRALOVENTO” dirigida por Eloy Domínguez, por cuenta de Zeitun Films S.L.</t>
  </si>
  <si>
    <t>7 MESES</t>
  </si>
  <si>
    <t>14 mar 2025</t>
  </si>
  <si>
    <t>18 mar 2025</t>
  </si>
  <si>
    <t>ZEITUN FILMS, S.L.</t>
  </si>
  <si>
    <t>B70237581</t>
  </si>
  <si>
    <t>Suministro de materiales (compostadores y manuales) para la realización de la “Campaña de Compostaje Doméstico en los municipios de la provincia que tienen delegado el servicio de recogida de RCL</t>
  </si>
  <si>
    <t>11 abr 2025</t>
  </si>
  <si>
    <t>ALQUI.ENVAS, SL</t>
  </si>
  <si>
    <t>B25335332</t>
  </si>
  <si>
    <t>Lote 2: suministro de 1.025 compostadores y 1.225 manuales</t>
  </si>
  <si>
    <t>Lote 1: suministro de 1.025 compostadores y 1.225 manuales</t>
  </si>
  <si>
    <t>Servicio de limpieza de los centros de trabajo de la Diputación provincial de Ourense</t>
  </si>
  <si>
    <t>13 mar 2025</t>
  </si>
  <si>
    <t>Elite Gallega, S.L.</t>
  </si>
  <si>
    <t>B32313173</t>
  </si>
  <si>
    <t>Lote 3: servicio de limpieza del Teatro Principal y locales Edificio Correos</t>
  </si>
  <si>
    <t>Lote 1: servicio de limpieza del Pazo Provincial (incluidos locales sótano calle Doctor Marañón núm. 2 bajo), Pazo de Vilamarín y Monasterio de San Pedro de Rocas</t>
  </si>
  <si>
    <t>10 abr 2025</t>
  </si>
  <si>
    <t>SERVEO SERVICIOS AUXILIARES, S.A.</t>
  </si>
  <si>
    <t>A28672038</t>
  </si>
  <si>
    <t>Lote 4: servicio de limpieza de la Escuela Provincial de Gaitas, Escuela-Taller Provincial de Instrumentos, Escuela Provincial de Danza-Museo del Traje, Taller de Maquinaria-Laboratorio y Parque de Ma</t>
  </si>
  <si>
    <t>Lote 2: servicio de limpieza del Centro Cultural “Marcos Valcárcel”, Escuela Provincial de Artes y Oficios y edificio antiguo INORDE</t>
  </si>
  <si>
    <t>Servicio para la redacción del estudio informativo del acondicionamiento y mejora integral en la OU-0508 Ponte dos Gozos (OU-536) – Parada do Sil (OU-0604) Nogueira de Ramuín</t>
  </si>
  <si>
    <t>ESTUDIO TECNICO GALLEGO, S.A.</t>
  </si>
  <si>
    <t>A15093081</t>
  </si>
  <si>
    <t>Refuerzo de firme en la OU-0801 O Barco - Sobradelo (Tramo urbano de Sobradelo), n.º 39/16/2024 - Municipio de Carballeda de Valdeorras</t>
  </si>
  <si>
    <t>10 mar 2025</t>
  </si>
  <si>
    <t>Servicios para la ejecución del plan señalización inteligente y accesible en cascos históricos del “PSTD Ourense Coge Velocidad, Villas Históricas y Termales”. NEXT GENERATION</t>
  </si>
  <si>
    <t>6 mar 2025</t>
  </si>
  <si>
    <t xml:space="preserve">Contratación de la prestacion del servicio consistente en la puesta en marcha de las seis Portas del Parque Natural Baixa Limia - Serra do Xures (Portas do Xures) </t>
  </si>
  <si>
    <t>Concesión de Servicios</t>
  </si>
  <si>
    <t>20 MESES</t>
  </si>
  <si>
    <t>1 abr 2025</t>
  </si>
  <si>
    <t>Sustinea</t>
  </si>
  <si>
    <t>G32422834</t>
  </si>
  <si>
    <t>Patrocinio del rodaje del largometraje “CASTELAO” dirigida por ÁNGELES HUERTA, por cuenta de RETRINCOS A.I.E.</t>
  </si>
  <si>
    <t>27 feb 2025</t>
  </si>
  <si>
    <t>3 mar 2025</t>
  </si>
  <si>
    <t>RETRINCOS AIE</t>
  </si>
  <si>
    <t>V44769883</t>
  </si>
  <si>
    <t>Patrocinio del rodaje del largometraje “ABURIÑO” dirigida por Xavier Bermúdez, por cuenta de Xamalú Filmes S.L.</t>
  </si>
  <si>
    <t>13 MESES</t>
  </si>
  <si>
    <t>Xamalú Filmes, SL</t>
  </si>
  <si>
    <t>B15486327</t>
  </si>
  <si>
    <t>Patrocinio del rodaje del documental “HABILITAR O BALEIRO” dirigida por Brais Lorenzo y Javier Fraiz, por cuenta de Metrópolis Dixital SCG</t>
  </si>
  <si>
    <t>5 mar 2025</t>
  </si>
  <si>
    <t>Metrópolis Dixital, SCG</t>
  </si>
  <si>
    <t>F27863869</t>
  </si>
  <si>
    <t>Representación artística, en el Teatro Principal de Ourense, del espectáculo de ópera ”RIGOLETTO” G. Verdi a cargo de Almamahler Productions S.L</t>
  </si>
  <si>
    <t>1 DÍA</t>
  </si>
  <si>
    <t>21 feb 2025</t>
  </si>
  <si>
    <t>22 feb 2025</t>
  </si>
  <si>
    <t>Almamahler Productions S.L.</t>
  </si>
  <si>
    <t>B88181789</t>
  </si>
  <si>
    <t>Patrocinio del rodaje del largometraje “as augas” dirigida por ledicia sola, por cuenta de maruxiña film company s.l.</t>
  </si>
  <si>
    <t>10 MESES</t>
  </si>
  <si>
    <t>19 feb 2025</t>
  </si>
  <si>
    <t>20 mar 2025</t>
  </si>
  <si>
    <t>Maruxiña Film Company sl</t>
  </si>
  <si>
    <t>B70222724</t>
  </si>
  <si>
    <t>Acuerdo marco del servicio de elaboración, producción y plan de medios de las campañas de comunicación y promoción de los ámbitos competenciales de la Diputación provincial de Ourense</t>
  </si>
  <si>
    <t>17 mar 2025</t>
  </si>
  <si>
    <t>Lazentral Media Dealers, S.L.</t>
  </si>
  <si>
    <t>B70383518</t>
  </si>
  <si>
    <t>Patrocinio del rodaje de la serie de televisión “LUME” dirigida por dirigida por Giselle Llanio y Sergio Graciano, por cuenta de producciones audiovisuales Sete Media, S.L</t>
  </si>
  <si>
    <t>25 feb 2025</t>
  </si>
  <si>
    <t>PRODUCCIONES AUDIOVISUALES SETE MEDIA, S.L.</t>
  </si>
  <si>
    <t>B15747652</t>
  </si>
  <si>
    <t>Servicio de teleasistencia provincial domiciliaria avanzada en los municipios de la provincia de Ourense</t>
  </si>
  <si>
    <t>ILUNION SOCIOSANITARIO, S.A.</t>
  </si>
  <si>
    <t>82438995A</t>
  </si>
  <si>
    <t>6</t>
  </si>
  <si>
    <t>Contratación del arrendamiento, en la modalidad de renting, de 76 vehículos para el Parque Móvil de la Diputación de Ourense</t>
  </si>
  <si>
    <t>18 feb 2025</t>
  </si>
  <si>
    <t>ANDACAR</t>
  </si>
  <si>
    <t>A12363529</t>
  </si>
  <si>
    <t>Lote 6: 6 Todoterreno o Todocamino 4x4</t>
  </si>
  <si>
    <t>Patrocinio del rodaje del proyecto audiovisual documental “CINE PARAISO, LEIRO” dirigida por Simone Seibane, por cuenta de Noveolas Producciones, S.L.</t>
  </si>
  <si>
    <t>15 MESES</t>
  </si>
  <si>
    <t>Noveolas Producciones, S.L.</t>
  </si>
  <si>
    <t>B32430837</t>
  </si>
  <si>
    <t>Monforte, S.A.</t>
  </si>
  <si>
    <t>A15019243</t>
  </si>
  <si>
    <t>Lote 2: 37 Furgoneta mixta 5 plazas</t>
  </si>
  <si>
    <t>7</t>
  </si>
  <si>
    <t>Lote 7: 6 Todoterreno o Todocamino 4x4</t>
  </si>
  <si>
    <t>19 mar 2025</t>
  </si>
  <si>
    <t>Lote 1: 4 Furgoneta 2 plazas</t>
  </si>
  <si>
    <t>Lote 5: 11 Todocamino Suv 4x4</t>
  </si>
  <si>
    <t>Lote 4: 6 Suv Medio 5 plazas</t>
  </si>
  <si>
    <t>Lote 3: 6 Furgoneta mixta larga 5 plazas</t>
  </si>
  <si>
    <t>suministro del material de oficina no inventariable y consumibles para el uso y consumo de las dependencias de la Diputación Provincial de Ourense</t>
  </si>
  <si>
    <t>15 DÍAS</t>
  </si>
  <si>
    <t>13 feb 2025</t>
  </si>
  <si>
    <t>PAZ-DISMAC,S.L.</t>
  </si>
  <si>
    <t>B36062180</t>
  </si>
  <si>
    <t>Suministro de dos vehículos todoterreno de doble cabina tipo pick-up y un vehículo tipo furgón adaptado a taller móvil, con destino al parque móvil y de maquinaria de la Diputación de Ourense</t>
  </si>
  <si>
    <t>210 DÍAS</t>
  </si>
  <si>
    <t>12 feb 2025</t>
  </si>
  <si>
    <t>TAR, SL</t>
  </si>
  <si>
    <t>B32002040</t>
  </si>
  <si>
    <t xml:space="preserve">Lote 3: Suministro de un (1) tipo furgón adaptado a taller móvil (coche taller). </t>
  </si>
  <si>
    <t>Lote 2: Suministro de un (1) vehículo todoterreno de doble cabina tipo Pick-Up con capacidad para 5 plazas y caja de carga, equipada con hardtop/capota rígida y baca.</t>
  </si>
  <si>
    <t>Lote 1: Suministro de un (1) vehículo todoterreno de doble cabina tipo Pick-Up con capacidad para 5 plazas y caja de carga, equipada con hardtop/capota rígida, baca y cuchilla quitanieves instalada en</t>
  </si>
  <si>
    <t>Suministro de un vehículo tipo berlina, con destino al parque móvil de presidencia de la Diputación Provincial de Ourense</t>
  </si>
  <si>
    <t>150 DÍAS</t>
  </si>
  <si>
    <t>GALICIA DISTRIBUCION DE AUTOMOVILES SA</t>
  </si>
  <si>
    <t>A32212540</t>
  </si>
  <si>
    <t>Arrendamiento, en la modalidad de renting, de dos prensas digitales de producción multifuncionales destinadas a la imprenta de la Diputación Provincial de Ourense</t>
  </si>
  <si>
    <t>SOLITIUM S.L.</t>
  </si>
  <si>
    <t>B50570571</t>
  </si>
  <si>
    <t>Suministro de contenedores de carga trasera para la recogida de residuos realizada por el Servicio de Aguas y Medio Ambiente de la Diputación provincial de Ourense</t>
  </si>
  <si>
    <t>80 DÍAS</t>
  </si>
  <si>
    <t>12 mar 2025</t>
  </si>
  <si>
    <t>JCOPLASTIC IBERICA 2000 SL</t>
  </si>
  <si>
    <t>B61734083</t>
  </si>
  <si>
    <t>Lote 6: suministro de 50 contenedores de carga trasera de 1100 litros de residuos de competencia local de la fracción resto para entregar en el punto limpio de Vilamartin de Valdeorras.</t>
  </si>
  <si>
    <t>Lote 4: suministro de 500 contenedores de carga trasera de 800 litros de residuos de competencia local de la fracción resto para entregar en el punto limpio de San Cibrao das Viñas.</t>
  </si>
  <si>
    <t>Lote 3: suministro de 500 contenedores de carga trasera de 800 litros de residuos de competencia local de la fracción resto para entregar en el punto limpio de Vilamartin de Valdeorras.</t>
  </si>
  <si>
    <t>Lote 2: suministro de 500 contenedores de carga trasera de 800 litros de residuos de competencia local de la fracción resto para entregar en la planta de transferencia de Xinzo de Limia.</t>
  </si>
  <si>
    <t>Lote 5: suministro de 150 contenedores de carga trasera de 1100 litros de residuos de competencia local de la fracción resto para entregar en el punto limpio de San Cibrao das Viñas.</t>
  </si>
  <si>
    <t>11</t>
  </si>
  <si>
    <t>Lote 11: suministro de 50 contenedores de carga trasera de 1000 litros de residuos de competencia local de la fracción papel-cartón para entregar en la planta de transferencia de Xinzo de Limia.</t>
  </si>
  <si>
    <t>10</t>
  </si>
  <si>
    <t>Lote 10: suministro de 50 contenedores de carga trasera de 1000 litros de residuos de competencia local de la fracción papel-cartón para entregar en la planta de transferencia de O Carballiño.</t>
  </si>
  <si>
    <t>Lote 1: suministro de 500 contenedores de carga trasera de 800 litros de residuos de competencia local de la fracción resto para entregar en la planta de transferencia de O Carballiño.</t>
  </si>
  <si>
    <t>9</t>
  </si>
  <si>
    <t>CONTENUR SL</t>
  </si>
  <si>
    <t>B82806738</t>
  </si>
  <si>
    <t>Lote 9: suministro de 100 contenedores de carga trasera de 800 litros de residuos de competencia local de la fracción envases ligeros para entregar en el punto limpio de Vilamartin de Valdeorras.</t>
  </si>
  <si>
    <t>8</t>
  </si>
  <si>
    <t>Lote 8: suministro de 100 contenedores de carga trasera de 800 litros de residuos de competencia local de la fracción envases ligeros para entregar en la planta de transferencia de Xinzo de Limia.</t>
  </si>
  <si>
    <t>Lote 7: suministro de 100 contenedores de carga trasera de 800 litros de residuos de competencia local de la fracción envases ligeros para entregar en la planta de transferencia de O Carballiño.</t>
  </si>
  <si>
    <t>Suministro de combustible, aditivos y aceite combustible al parque móvil y de maquinaria de la Diputación Provincial de Ourense</t>
  </si>
  <si>
    <t>28 ene 2025</t>
  </si>
  <si>
    <t>Lote 9. Suministro de combustible en la zona de influencia de la nave del Área de Infraestructuras en Bande</t>
  </si>
  <si>
    <t>Lote 8. Suministro de combustible en la zona de influencia de la planta de Transferencia de RSU en A Rúa</t>
  </si>
  <si>
    <t>Lote 7. Suministro de combustible en la zona de influencia de la nave del Servicio de Medio Ambiente en Viana do Bolo</t>
  </si>
  <si>
    <t>Lote 5. Suministro de combustible en la zona de influencia del Punto Limpio del Servicio de M.A. en Muiños</t>
  </si>
  <si>
    <t>Lote 4 Suministro de combustible en la zona de influencia de la nave del Área de Infraestructuras en Verín</t>
  </si>
  <si>
    <t>15</t>
  </si>
  <si>
    <t>Lote 15. Suministro de combustible en la zona de influencia de la Nave del Servicio de Aguas y Medio Ambiente en A Veiga</t>
  </si>
  <si>
    <t>14</t>
  </si>
  <si>
    <t>Lote 14. Suministro de combustible en la zona de influencia de la planta de transferencia de RSU en Maceda</t>
  </si>
  <si>
    <t>13</t>
  </si>
  <si>
    <t>Lote 13. Suministro de combustible en la zona de influencia de la planta de transferencia de RSU en Beade</t>
  </si>
  <si>
    <t>12</t>
  </si>
  <si>
    <t>Lote 12. Suministro de combustible en la zona de influencia del punto limpio del Servicio M.A. en Castro Caldelas</t>
  </si>
  <si>
    <t>Lote 11. Suministro de combustible en la zona de influencia de la planta de transferencia de RSU en A Gudiña</t>
  </si>
  <si>
    <t>Lote 10. Suministro de combustible en la zona de influencia de la Nave del Servicio de Medio Ambiente en A Pobra de Trives</t>
  </si>
  <si>
    <t>Lote 1. Suministro de combustible en la zona de influencia del Parque Móvil y de Maquinaria en San Cibrao das Viñas</t>
  </si>
  <si>
    <t>RED ESPAÑOLA DE SERVICIOS SAU</t>
  </si>
  <si>
    <t>A25009192</t>
  </si>
  <si>
    <t>Lote 6. Suministro de combustible en la zona de influencia de la nave del Área de Infraestructuras en O Barco de Valdeorras</t>
  </si>
  <si>
    <t>7 mar 2025</t>
  </si>
  <si>
    <t>ESTACIONES DE SERVICIO PEREZ RUMBAO S.A.</t>
  </si>
  <si>
    <t>A32163842</t>
  </si>
  <si>
    <t>Lote 2. Suministro de combustible en la zona de influencia del Pazo Provincial en Calle Progreso nº 32, Ourense</t>
  </si>
  <si>
    <t>Suministro de un vehículo tipo dumper de obra 4x4, 100% eléctrico cero emisiones y de un terminal de recarga inteligente compatible  con destino a la Diputación de Ourense</t>
  </si>
  <si>
    <t>5 feb 2025</t>
  </si>
  <si>
    <t>Exclusivas Puente, S.L.</t>
  </si>
  <si>
    <t>B36607620</t>
  </si>
  <si>
    <t>28 feb 2025</t>
  </si>
  <si>
    <t>ADENOR</t>
  </si>
  <si>
    <t>A28421170</t>
  </si>
  <si>
    <t>Lote 3. Suministro de combustible en la zona de influencia de la planta de transferencia de RSU en O Carballiño</t>
  </si>
  <si>
    <t xml:space="preserve">Contratacion de la prestacion del servicio consistente en el desarrollo del producto turistico inmaterial ¨O entroido na RBTGX: un patrimonio a preservar¨ </t>
  </si>
  <si>
    <t>23 ene 2025</t>
  </si>
  <si>
    <t>27 ene 2025</t>
  </si>
  <si>
    <t>NOSO Plans e Proxectos S.C.G</t>
  </si>
  <si>
    <t>F42789545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</si>
</sst>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scheme val="minor"/>
    </font>
    <font>
      <sz val="10"/>
      <color theme="1"/>
      <name val="Arial"/>
      <scheme val="minor"/>
    </font>
    <font>
      <u/>
      <sz val="10"/>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Font="1" applyAlignment="1"/>
    <xf numFmtId="0" fontId="1" fillId="0" borderId="0" xfId="0" applyFont="1"/>
    <xf numFmtId="0" fontId="2" fillId="0" borderId="0" xfId="0" applyFont="1"/>
    <xf numFmtId="0" fontId="1" fillId="0" borderId="0" xfId="0" quotePrefix="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541319</xdr:colOff>
      <xdr:row>0</xdr:row>
      <xdr:rowOff>3542857</xdr:rowOff>
    </xdr:to>
    <xdr:pic>
      <xdr:nvPicPr>
        <xdr:cNvPr id="2" name="Imagen 1">
          <a:extLst>
            <a:ext uri="{FF2B5EF4-FFF2-40B4-BE49-F238E27FC236}">
              <a16:creationId xmlns:a16="http://schemas.microsoft.com/office/drawing/2014/main" id="{BCA0733B-A64E-FDD7-FC67-AB30DA6BA46C}"/>
            </a:ext>
          </a:extLst>
        </xdr:cNvPr>
        <xdr:cNvPicPr>
          <a:picLocks noChangeAspect="1"/>
        </xdr:cNvPicPr>
      </xdr:nvPicPr>
      <xdr:blipFill>
        <a:blip xmlns:r="http://schemas.openxmlformats.org/officeDocument/2006/relationships" r:embed="rId1"/>
        <a:stretch>
          <a:fillRect/>
        </a:stretch>
      </xdr:blipFill>
      <xdr:spPr>
        <a:xfrm>
          <a:off x="0" y="0"/>
          <a:ext cx="12847619" cy="354285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7"/>
  <sheetViews>
    <sheetView tabSelected="1" workbookViewId="0"/>
  </sheetViews>
  <sheetFormatPr baseColWidth="10" defaultColWidth="12.6640625" defaultRowHeight="15.75" customHeight="1" x14ac:dyDescent="0.25"/>
  <cols>
    <col min="1" max="1" width="22.21875" customWidth="1"/>
    <col min="3" max="3" width="4.77734375" customWidth="1"/>
    <col min="4" max="4" width="22.88671875" customWidth="1"/>
  </cols>
  <sheetData>
    <row r="1" spans="1:16" ht="280.05" customHeight="1" x14ac:dyDescent="0.25"/>
    <row r="2" spans="1:16" ht="15.75"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row>
    <row r="3" spans="1:16" ht="15.75" customHeight="1" x14ac:dyDescent="0.25">
      <c r="A3" s="1" t="s">
        <v>16</v>
      </c>
      <c r="B3" s="2" t="str">
        <f>HYPERLINK("https://www.google.com/url?q=https%3A%2F%2Fcontrataciondelestado.es%2Fwps%2Fpoc%3Furi%3Ddeeplink%3Adetalle_licitacion%26idEvl%3DYSJ7487QGxoeC9GJQOEBkQ%253D%253D", "SERV/ABR/2025000032")</f>
        <v>SERV/ABR/2025000032</v>
      </c>
      <c r="C3" s="1" t="s">
        <v>17</v>
      </c>
      <c r="D3" s="1" t="s">
        <v>18</v>
      </c>
      <c r="E3" s="1" t="s">
        <v>19</v>
      </c>
      <c r="F3" s="1" t="s">
        <v>20</v>
      </c>
      <c r="G3" s="1" t="s">
        <v>21</v>
      </c>
      <c r="H3" s="1" t="s">
        <v>22</v>
      </c>
      <c r="I3" s="1">
        <v>54430.6</v>
      </c>
      <c r="J3" s="3" t="s">
        <v>23</v>
      </c>
      <c r="K3" s="1" t="s">
        <v>24</v>
      </c>
      <c r="L3" s="1">
        <v>54348.36</v>
      </c>
      <c r="M3" s="1" t="s">
        <v>25</v>
      </c>
      <c r="N3" s="1" t="s">
        <v>26</v>
      </c>
      <c r="O3" s="1" t="s">
        <v>14</v>
      </c>
      <c r="P3" s="1" t="s">
        <v>27</v>
      </c>
    </row>
    <row r="4" spans="1:16" ht="15.75" customHeight="1" x14ac:dyDescent="0.25">
      <c r="A4" s="1" t="s">
        <v>16</v>
      </c>
      <c r="B4" s="2" t="str">
        <f>HYPERLINK("https://www.google.com/url?q=https%3A%2F%2Fcontrataciondelestado.es%2Fwps%2Fpoc%3Furi%3Ddeeplink%3Adetalle_licitacion%26idEvl%3DTgkTNzp3D6JPpzdqOdhuWg%253D%253D", "CON_PR/NEG_SINP/2025000034")</f>
        <v>CON_PR/NEG_SINP/2025000034</v>
      </c>
      <c r="C4" s="1" t="s">
        <v>17</v>
      </c>
      <c r="D4" s="1" t="s">
        <v>28</v>
      </c>
      <c r="E4" s="1" t="s">
        <v>29</v>
      </c>
      <c r="F4" s="1" t="s">
        <v>30</v>
      </c>
      <c r="G4" s="1" t="s">
        <v>31</v>
      </c>
      <c r="H4" s="1" t="s">
        <v>32</v>
      </c>
      <c r="I4" s="1">
        <v>60500</v>
      </c>
      <c r="J4" s="3" t="s">
        <v>23</v>
      </c>
      <c r="K4" s="3" t="s">
        <v>23</v>
      </c>
      <c r="L4" s="1">
        <v>60500</v>
      </c>
      <c r="M4" s="1" t="s">
        <v>33</v>
      </c>
      <c r="N4" s="1" t="s">
        <v>34</v>
      </c>
      <c r="O4" s="1" t="s">
        <v>14</v>
      </c>
      <c r="P4" s="1" t="s">
        <v>27</v>
      </c>
    </row>
    <row r="5" spans="1:16" ht="15.75" customHeight="1" x14ac:dyDescent="0.25">
      <c r="A5" s="1" t="s">
        <v>16</v>
      </c>
      <c r="B5" s="2" t="str">
        <f>HYPERLINK("https://www.google.com/url?q=https%3A%2F%2Fcontrataciondelestado.es%2Fwps%2Fpoc%3Furi%3Ddeeplink%3Adetalle_licitacion%26idEvl%3DWV3F4CKT88KopEMYCmrbmw%253D%253D", "SERV/ABR/2025000030")</f>
        <v>SERV/ABR/2025000030</v>
      </c>
      <c r="C5" s="1" t="s">
        <v>17</v>
      </c>
      <c r="D5" s="1" t="s">
        <v>35</v>
      </c>
      <c r="E5" s="1" t="s">
        <v>19</v>
      </c>
      <c r="F5" s="1" t="s">
        <v>20</v>
      </c>
      <c r="G5" s="1" t="s">
        <v>36</v>
      </c>
      <c r="H5" s="1" t="s">
        <v>22</v>
      </c>
      <c r="I5" s="1">
        <v>95000</v>
      </c>
      <c r="J5" s="3" t="s">
        <v>37</v>
      </c>
      <c r="K5" s="1" t="s">
        <v>24</v>
      </c>
      <c r="L5" s="1">
        <v>91355</v>
      </c>
      <c r="M5" s="1" t="s">
        <v>38</v>
      </c>
      <c r="N5" s="3" t="s">
        <v>39</v>
      </c>
      <c r="O5" s="1" t="s">
        <v>14</v>
      </c>
      <c r="P5" s="1" t="s">
        <v>27</v>
      </c>
    </row>
    <row r="6" spans="1:16" ht="15.75" customHeight="1" x14ac:dyDescent="0.25">
      <c r="A6" s="1" t="s">
        <v>16</v>
      </c>
      <c r="B6" s="2" t="str">
        <f>HYPERLINK("https://www.google.com/url?q=https%3A%2F%2Fcontrataciondelestado.es%2Fwps%2Fpoc%3Furi%3Ddeeplink%3Adetalle_licitacion%26idEvl%3DpuMiNH%252Btmu%252B8ebB%252FXTwy0A%253D%253D", "OBR/ABR/2025000019")</f>
        <v>OBR/ABR/2025000019</v>
      </c>
      <c r="C6" s="1" t="s">
        <v>17</v>
      </c>
      <c r="D6" s="1" t="s">
        <v>40</v>
      </c>
      <c r="E6" s="1" t="s">
        <v>19</v>
      </c>
      <c r="F6" s="1" t="s">
        <v>41</v>
      </c>
      <c r="G6" s="1" t="s">
        <v>42</v>
      </c>
      <c r="H6" s="1" t="s">
        <v>22</v>
      </c>
      <c r="I6" s="1">
        <v>203923.48</v>
      </c>
      <c r="J6" s="3" t="s">
        <v>43</v>
      </c>
      <c r="K6" s="1" t="s">
        <v>24</v>
      </c>
      <c r="L6" s="1">
        <v>178616.58</v>
      </c>
      <c r="M6" s="1" t="s">
        <v>44</v>
      </c>
      <c r="N6" s="1" t="s">
        <v>45</v>
      </c>
      <c r="O6" s="1" t="s">
        <v>14</v>
      </c>
      <c r="P6" s="1" t="s">
        <v>27</v>
      </c>
    </row>
    <row r="7" spans="1:16" ht="15.75" customHeight="1" x14ac:dyDescent="0.25">
      <c r="A7" s="1" t="s">
        <v>16</v>
      </c>
      <c r="B7" s="2" t="str">
        <f>HYPERLINK("https://www.google.com/url?q=https%3A%2F%2Fcontrataciondelestado.es%2Fwps%2Fpoc%3Furi%3Ddeeplink%3Adetalle_licitacion%26idEvl%3DK1ijC2oO8RckJPJS%252BPS9vg%253D%253D", "SERV/ABR/2025000026")</f>
        <v>SERV/ABR/2025000026</v>
      </c>
      <c r="C7" s="1" t="s">
        <v>17</v>
      </c>
      <c r="D7" s="1" t="s">
        <v>46</v>
      </c>
      <c r="E7" s="1" t="s">
        <v>19</v>
      </c>
      <c r="F7" s="1" t="s">
        <v>20</v>
      </c>
      <c r="G7" s="1" t="s">
        <v>47</v>
      </c>
      <c r="H7" s="1" t="s">
        <v>48</v>
      </c>
      <c r="I7" s="1">
        <v>60227.76</v>
      </c>
      <c r="J7" s="3" t="s">
        <v>49</v>
      </c>
      <c r="K7" s="1" t="s">
        <v>24</v>
      </c>
      <c r="L7" s="1">
        <v>0</v>
      </c>
      <c r="M7" s="1" t="s">
        <v>50</v>
      </c>
      <c r="N7" s="1" t="s">
        <v>51</v>
      </c>
      <c r="O7" s="1" t="s">
        <v>52</v>
      </c>
      <c r="P7" s="1" t="s">
        <v>27</v>
      </c>
    </row>
    <row r="8" spans="1:16" ht="15.75" customHeight="1" x14ac:dyDescent="0.25">
      <c r="A8" s="1" t="s">
        <v>16</v>
      </c>
      <c r="B8" s="2" t="str">
        <f>HYPERLINK("https://www.google.com/url?q=https%3A%2F%2Fcontrataciondelestado.es%2Fwps%2Fpoc%3Furi%3Ddeeplink%3Adetalle_licitacion%26idEvl%3DesYFu6vXozo7%252B9FIQYNjeQ%253D%253D", "OBR/ABR/2025000018")</f>
        <v>OBR/ABR/2025000018</v>
      </c>
      <c r="C8" s="1" t="s">
        <v>17</v>
      </c>
      <c r="D8" s="1" t="s">
        <v>53</v>
      </c>
      <c r="E8" s="1" t="s">
        <v>19</v>
      </c>
      <c r="F8" s="1" t="s">
        <v>41</v>
      </c>
      <c r="G8" s="1" t="s">
        <v>31</v>
      </c>
      <c r="H8" s="1" t="s">
        <v>22</v>
      </c>
      <c r="I8" s="1">
        <v>103577.95</v>
      </c>
      <c r="J8" s="3" t="s">
        <v>49</v>
      </c>
      <c r="K8" s="1" t="s">
        <v>24</v>
      </c>
      <c r="L8" s="1">
        <v>82978.17</v>
      </c>
      <c r="M8" s="1" t="s">
        <v>54</v>
      </c>
      <c r="N8" s="1" t="s">
        <v>55</v>
      </c>
      <c r="O8" s="1" t="s">
        <v>14</v>
      </c>
      <c r="P8" s="1" t="s">
        <v>27</v>
      </c>
    </row>
    <row r="9" spans="1:16" ht="15.75" customHeight="1" x14ac:dyDescent="0.25">
      <c r="A9" s="1" t="s">
        <v>16</v>
      </c>
      <c r="B9" s="2" t="str">
        <f>HYPERLINK("https://www.google.com/url?q=https%3A%2F%2Fcontrataciondelestado.es%2Fwps%2Fpoc%3Furi%3Ddeeplink%3Adetalle_licitacion%26idEvl%3DCxXws%252BXfwmTpxJFXpLZ%252B2A%253D%253D", "OBR/ABR/2025000017")</f>
        <v>OBR/ABR/2025000017</v>
      </c>
      <c r="C9" s="1" t="s">
        <v>17</v>
      </c>
      <c r="D9" s="1" t="s">
        <v>56</v>
      </c>
      <c r="E9" s="1" t="s">
        <v>19</v>
      </c>
      <c r="F9" s="1" t="s">
        <v>41</v>
      </c>
      <c r="G9" s="1" t="s">
        <v>31</v>
      </c>
      <c r="H9" s="1" t="s">
        <v>32</v>
      </c>
      <c r="I9" s="1">
        <v>81354.59</v>
      </c>
      <c r="J9" s="3" t="s">
        <v>49</v>
      </c>
      <c r="K9" s="3" t="s">
        <v>57</v>
      </c>
      <c r="L9" s="1">
        <v>80921.17</v>
      </c>
      <c r="M9" s="1" t="s">
        <v>54</v>
      </c>
      <c r="N9" s="1" t="s">
        <v>55</v>
      </c>
      <c r="O9" s="1" t="s">
        <v>14</v>
      </c>
      <c r="P9" s="1" t="s">
        <v>27</v>
      </c>
    </row>
    <row r="10" spans="1:16" ht="15.75" customHeight="1" x14ac:dyDescent="0.25">
      <c r="A10" s="1" t="s">
        <v>16</v>
      </c>
      <c r="B10" s="2" t="str">
        <f>HYPERLINK("https://www.google.com/url?q=https%3A%2F%2Fcontrataciondelestado.es%2Fwps%2Fpoc%3Furi%3Ddeeplink%3Adetalle_licitacion%26idEvl%3D1mGtF6YD5Ermnwcj%252BxbdTg%253D%253D", "OBR/ABR/2025000003")</f>
        <v>OBR/ABR/2025000003</v>
      </c>
      <c r="C10" s="1" t="s">
        <v>17</v>
      </c>
      <c r="D10" s="1" t="s">
        <v>58</v>
      </c>
      <c r="E10" s="1" t="s">
        <v>19</v>
      </c>
      <c r="F10" s="1" t="s">
        <v>41</v>
      </c>
      <c r="G10" s="1" t="s">
        <v>31</v>
      </c>
      <c r="H10" s="1" t="s">
        <v>32</v>
      </c>
      <c r="I10" s="1">
        <v>122092.91</v>
      </c>
      <c r="J10" s="3" t="s">
        <v>59</v>
      </c>
      <c r="K10" s="3" t="s">
        <v>60</v>
      </c>
      <c r="L10" s="1">
        <v>107441.76</v>
      </c>
      <c r="M10" s="1" t="s">
        <v>61</v>
      </c>
      <c r="N10" s="1" t="s">
        <v>62</v>
      </c>
      <c r="O10" s="1" t="s">
        <v>14</v>
      </c>
      <c r="P10" s="1" t="s">
        <v>27</v>
      </c>
    </row>
    <row r="11" spans="1:16" ht="15.75" customHeight="1" x14ac:dyDescent="0.25">
      <c r="A11" s="1" t="s">
        <v>16</v>
      </c>
      <c r="B11" s="2" t="str">
        <f>HYPERLINK("https://www.google.com/url?q=https%3A%2F%2Fcontrataciondelestado.es%2Fwps%2Fpoc%3Furi%3Ddeeplink%3Adetalle_licitacion%26idEvl%3DVLrYKDH7tTj10HRJw8TEnQ%253D%253D", "OBR/ABR/2025000004")</f>
        <v>OBR/ABR/2025000004</v>
      </c>
      <c r="C11" s="1" t="s">
        <v>17</v>
      </c>
      <c r="D11" s="1" t="s">
        <v>63</v>
      </c>
      <c r="E11" s="1" t="s">
        <v>19</v>
      </c>
      <c r="F11" s="1" t="s">
        <v>41</v>
      </c>
      <c r="G11" s="1" t="s">
        <v>31</v>
      </c>
      <c r="H11" s="1" t="s">
        <v>32</v>
      </c>
      <c r="I11" s="1">
        <v>165533.10999999999</v>
      </c>
      <c r="J11" s="3" t="s">
        <v>64</v>
      </c>
      <c r="K11" s="3" t="s">
        <v>65</v>
      </c>
      <c r="L11" s="1">
        <v>136100.79999999999</v>
      </c>
      <c r="M11" s="1" t="s">
        <v>66</v>
      </c>
      <c r="N11" s="1" t="s">
        <v>67</v>
      </c>
      <c r="O11" s="1" t="s">
        <v>14</v>
      </c>
      <c r="P11" s="1" t="s">
        <v>27</v>
      </c>
    </row>
    <row r="12" spans="1:16" ht="15.75" customHeight="1" x14ac:dyDescent="0.25">
      <c r="A12" s="1" t="s">
        <v>16</v>
      </c>
      <c r="B12" s="2" t="str">
        <f>HYPERLINK("https://www.google.com/url?q=https%3A%2F%2Fcontrataciondelestado.es%2Fwps%2Fpoc%3Furi%3Ddeeplink%3Adetalle_licitacion%26idEvl%3De%252Ff%252BxUA3oPedkQsA7ROvsg%253D%253D", "OBR/ABR/2025000014")</f>
        <v>OBR/ABR/2025000014</v>
      </c>
      <c r="C12" s="1" t="s">
        <v>17</v>
      </c>
      <c r="D12" s="1" t="s">
        <v>68</v>
      </c>
      <c r="E12" s="1" t="s">
        <v>19</v>
      </c>
      <c r="F12" s="1" t="s">
        <v>41</v>
      </c>
      <c r="G12" s="1" t="s">
        <v>31</v>
      </c>
      <c r="H12" s="1" t="s">
        <v>32</v>
      </c>
      <c r="I12" s="1">
        <v>141762.62</v>
      </c>
      <c r="J12" s="3" t="s">
        <v>64</v>
      </c>
      <c r="K12" s="3" t="s">
        <v>69</v>
      </c>
      <c r="L12" s="1">
        <v>109228.1</v>
      </c>
      <c r="M12" s="1" t="s">
        <v>70</v>
      </c>
      <c r="N12" s="1" t="s">
        <v>71</v>
      </c>
      <c r="O12" s="1" t="s">
        <v>14</v>
      </c>
      <c r="P12" s="1" t="s">
        <v>27</v>
      </c>
    </row>
    <row r="13" spans="1:16" ht="15.75" customHeight="1" x14ac:dyDescent="0.25">
      <c r="A13" s="1" t="s">
        <v>16</v>
      </c>
      <c r="B13" s="2" t="str">
        <f>HYPERLINK("https://www.google.com/url?q=https%3A%2F%2Fcontrataciondelestado.es%2Fwps%2Fpoc%3Furi%3Ddeeplink%3Adetalle_licitacion%26idEvl%3DUJMVHWoiDtjkY6rls5tG9A%253D%253D", "SUMIN/ABR/2025000020")</f>
        <v>SUMIN/ABR/2025000020</v>
      </c>
      <c r="C13" s="1" t="s">
        <v>17</v>
      </c>
      <c r="D13" s="1" t="s">
        <v>72</v>
      </c>
      <c r="E13" s="1" t="s">
        <v>19</v>
      </c>
      <c r="F13" s="1" t="s">
        <v>73</v>
      </c>
      <c r="G13" s="1" t="s">
        <v>74</v>
      </c>
      <c r="H13" s="1" t="s">
        <v>32</v>
      </c>
      <c r="I13" s="1">
        <v>14000</v>
      </c>
      <c r="J13" s="3" t="s">
        <v>75</v>
      </c>
      <c r="K13" s="3" t="s">
        <v>64</v>
      </c>
      <c r="L13" s="1">
        <v>13950.7</v>
      </c>
      <c r="M13" s="1" t="s">
        <v>76</v>
      </c>
      <c r="N13" s="1" t="s">
        <v>77</v>
      </c>
      <c r="O13" s="1" t="s">
        <v>14</v>
      </c>
      <c r="P13" s="1" t="s">
        <v>27</v>
      </c>
    </row>
    <row r="14" spans="1:16" ht="15.75" customHeight="1" x14ac:dyDescent="0.25">
      <c r="A14" s="1" t="s">
        <v>16</v>
      </c>
      <c r="B14" s="2" t="str">
        <f>HYPERLINK("https://www.google.com/url?q=https%3A%2F%2Fcontrataciondelestado.es%2Fwps%2Fpoc%3Furi%3Ddeeplink%3Adetalle_licitacion%26idEvl%3D4ysBroWp7Uy2gkLQ8TeYKA%253D%253D", "SERV/ABR/2025000010")</f>
        <v>SERV/ABR/2025000010</v>
      </c>
      <c r="C14" s="1" t="s">
        <v>17</v>
      </c>
      <c r="D14" s="1" t="s">
        <v>78</v>
      </c>
      <c r="E14" s="1" t="s">
        <v>19</v>
      </c>
      <c r="F14" s="1" t="s">
        <v>20</v>
      </c>
      <c r="G14" s="1" t="s">
        <v>79</v>
      </c>
      <c r="H14" s="1" t="s">
        <v>32</v>
      </c>
      <c r="I14" s="1">
        <v>71320</v>
      </c>
      <c r="J14" s="3" t="s">
        <v>80</v>
      </c>
      <c r="K14" s="3" t="s">
        <v>81</v>
      </c>
      <c r="L14" s="1">
        <v>48279</v>
      </c>
      <c r="M14" s="1" t="s">
        <v>82</v>
      </c>
      <c r="N14" s="1" t="s">
        <v>83</v>
      </c>
      <c r="O14" s="1" t="s">
        <v>14</v>
      </c>
      <c r="P14" s="1" t="s">
        <v>27</v>
      </c>
    </row>
    <row r="15" spans="1:16" ht="15.75" customHeight="1" x14ac:dyDescent="0.25">
      <c r="A15" s="1" t="s">
        <v>16</v>
      </c>
      <c r="B15" s="2" t="str">
        <f>HYPERLINK("https://www.google.com/url?q=https%3A%2F%2Fcontrataciondelestado.es%2Fwps%2Fpoc%3Furi%3Ddeeplink%3Adetalle_licitacion%26idEvl%3DNNs%252By8%252FzWOPVGIpKDxgsAQ%253D%253D", "SERV/ABR/2025000015")</f>
        <v>SERV/ABR/2025000015</v>
      </c>
      <c r="C15" s="1" t="s">
        <v>17</v>
      </c>
      <c r="D15" s="1" t="s">
        <v>84</v>
      </c>
      <c r="E15" s="1" t="s">
        <v>19</v>
      </c>
      <c r="F15" s="1" t="s">
        <v>20</v>
      </c>
      <c r="G15" s="1" t="s">
        <v>85</v>
      </c>
      <c r="H15" s="1" t="s">
        <v>32</v>
      </c>
      <c r="I15" s="1">
        <v>33285.19</v>
      </c>
      <c r="J15" s="3" t="s">
        <v>80</v>
      </c>
      <c r="K15" s="3" t="s">
        <v>86</v>
      </c>
      <c r="L15" s="1">
        <v>26607.9</v>
      </c>
      <c r="M15" s="1" t="s">
        <v>87</v>
      </c>
      <c r="N15" s="1" t="s">
        <v>88</v>
      </c>
      <c r="O15" s="1" t="s">
        <v>14</v>
      </c>
      <c r="P15" s="1" t="s">
        <v>27</v>
      </c>
    </row>
    <row r="16" spans="1:16" ht="15.75" customHeight="1" x14ac:dyDescent="0.25">
      <c r="A16" s="1" t="s">
        <v>16</v>
      </c>
      <c r="B16" s="2" t="str">
        <f>HYPERLINK("https://www.google.com/url?q=https%3A%2F%2Fcontrataciondelestado.es%2Fwps%2Fpoc%3Furi%3Ddeeplink%3Adetalle_licitacion%26idEvl%3D3GWk4AASH41%252FP7lJ7Fu0SA%253D%253D", "SUMIN/ABR/2025000025")</f>
        <v>SUMIN/ABR/2025000025</v>
      </c>
      <c r="C16" s="1" t="s">
        <v>17</v>
      </c>
      <c r="D16" s="1" t="s">
        <v>89</v>
      </c>
      <c r="E16" s="1" t="s">
        <v>19</v>
      </c>
      <c r="F16" s="1" t="s">
        <v>73</v>
      </c>
      <c r="G16" s="1" t="s">
        <v>85</v>
      </c>
      <c r="H16" s="1" t="s">
        <v>48</v>
      </c>
      <c r="I16" s="1">
        <v>17995.5</v>
      </c>
      <c r="J16" s="3" t="s">
        <v>90</v>
      </c>
      <c r="K16" s="1" t="s">
        <v>24</v>
      </c>
      <c r="L16" s="1">
        <v>0</v>
      </c>
      <c r="M16" s="1" t="s">
        <v>50</v>
      </c>
      <c r="N16" s="1" t="s">
        <v>51</v>
      </c>
      <c r="O16" s="1" t="s">
        <v>52</v>
      </c>
      <c r="P16" s="1" t="s">
        <v>27</v>
      </c>
    </row>
    <row r="17" spans="1:16" ht="15.75" customHeight="1" x14ac:dyDescent="0.25">
      <c r="A17" s="1" t="s">
        <v>16</v>
      </c>
      <c r="B17" s="2" t="str">
        <f>HYPERLINK("https://www.google.com/url?q=https%3A%2F%2Fcontrataciondelestado.es%2Fwps%2Fpoc%3Furi%3Ddeeplink%3Adetalle_licitacion%26idEvl%3D2%252B4Wu7HGCV28ebB%252FXTwy0A%253D%253D", "SERV/ABR/2025000022")</f>
        <v>SERV/ABR/2025000022</v>
      </c>
      <c r="C17" s="1" t="s">
        <v>17</v>
      </c>
      <c r="D17" s="1" t="s">
        <v>91</v>
      </c>
      <c r="E17" s="1" t="s">
        <v>19</v>
      </c>
      <c r="F17" s="1" t="s">
        <v>20</v>
      </c>
      <c r="G17" s="1" t="s">
        <v>74</v>
      </c>
      <c r="H17" s="1" t="s">
        <v>32</v>
      </c>
      <c r="I17" s="1">
        <v>0.01</v>
      </c>
      <c r="J17" s="3" t="s">
        <v>92</v>
      </c>
      <c r="K17" s="3" t="s">
        <v>93</v>
      </c>
      <c r="L17" s="1">
        <v>63.5</v>
      </c>
      <c r="M17" s="1" t="s">
        <v>94</v>
      </c>
      <c r="N17" s="1" t="s">
        <v>95</v>
      </c>
      <c r="O17" s="1" t="s">
        <v>14</v>
      </c>
      <c r="P17" s="1" t="s">
        <v>27</v>
      </c>
    </row>
    <row r="18" spans="1:16" ht="15.75" customHeight="1" x14ac:dyDescent="0.25">
      <c r="A18" s="1" t="s">
        <v>16</v>
      </c>
      <c r="B18" s="2" t="str">
        <f>HYPERLINK("https://www.google.com/url?q=https%3A%2F%2Fcontrataciondelestado.es%2Fwps%2Fpoc%3Furi%3Ddeeplink%3Adetalle_licitacion%26idEvl%3D76Vljrw2hAnyoM4us5k4vw%253D%253D", "OBR/ABR/2025000012")</f>
        <v>OBR/ABR/2025000012</v>
      </c>
      <c r="C18" s="1" t="s">
        <v>17</v>
      </c>
      <c r="D18" s="1" t="s">
        <v>96</v>
      </c>
      <c r="E18" s="1" t="s">
        <v>19</v>
      </c>
      <c r="F18" s="1" t="s">
        <v>41</v>
      </c>
      <c r="G18" s="1" t="s">
        <v>31</v>
      </c>
      <c r="H18" s="1" t="s">
        <v>32</v>
      </c>
      <c r="I18" s="1">
        <v>157230.69</v>
      </c>
      <c r="J18" s="3" t="s">
        <v>97</v>
      </c>
      <c r="K18" s="3" t="s">
        <v>75</v>
      </c>
      <c r="L18" s="1">
        <v>136460.51999999999</v>
      </c>
      <c r="M18" s="1" t="s">
        <v>44</v>
      </c>
      <c r="N18" s="1" t="s">
        <v>45</v>
      </c>
      <c r="O18" s="1" t="s">
        <v>14</v>
      </c>
      <c r="P18" s="1" t="s">
        <v>27</v>
      </c>
    </row>
    <row r="19" spans="1:16" ht="15.75" customHeight="1" x14ac:dyDescent="0.25">
      <c r="A19" s="1" t="s">
        <v>16</v>
      </c>
      <c r="B19" s="2" t="str">
        <f>HYPERLINK("https://www.google.com/url?q=https%3A%2F%2Fcontrataciondelestado.es%2Fwps%2Fpoc%3Furi%3Ddeeplink%3Adetalle_licitacion%26idEvl%3DrW3Bl8JRsfzkY6rls5tG9A%253D%253D", "OBR/ABR/2025000016")</f>
        <v>OBR/ABR/2025000016</v>
      </c>
      <c r="C19" s="1" t="s">
        <v>17</v>
      </c>
      <c r="D19" s="1" t="s">
        <v>98</v>
      </c>
      <c r="E19" s="1" t="s">
        <v>19</v>
      </c>
      <c r="F19" s="1" t="s">
        <v>41</v>
      </c>
      <c r="G19" s="1" t="s">
        <v>99</v>
      </c>
      <c r="H19" s="1" t="s">
        <v>32</v>
      </c>
      <c r="I19" s="1">
        <v>109622.54</v>
      </c>
      <c r="J19" s="3" t="s">
        <v>100</v>
      </c>
      <c r="K19" s="3" t="s">
        <v>92</v>
      </c>
      <c r="L19" s="1">
        <v>99850</v>
      </c>
      <c r="M19" s="1" t="s">
        <v>101</v>
      </c>
      <c r="N19" s="1" t="s">
        <v>102</v>
      </c>
      <c r="O19" s="1" t="s">
        <v>14</v>
      </c>
      <c r="P19" s="1" t="s">
        <v>27</v>
      </c>
    </row>
    <row r="20" spans="1:16" ht="15.75" customHeight="1" x14ac:dyDescent="0.25">
      <c r="A20" s="1" t="s">
        <v>16</v>
      </c>
      <c r="B20" s="2" t="str">
        <f>HYPERLINK("https://www.google.com/url?q=https%3A%2F%2Fcontrataciondelestado.es%2Fwps%2Fpoc%3Furi%3Ddeeplink%3Adetalle_licitacion%26idEvl%3DdX66fdBPsGh4zIRvjBVCSw%253D%253D", "CON_PR/NEG_SINP/2025000029")</f>
        <v>CON_PR/NEG_SINP/2025000029</v>
      </c>
      <c r="C20" s="1" t="s">
        <v>17</v>
      </c>
      <c r="D20" s="1" t="s">
        <v>103</v>
      </c>
      <c r="E20" s="1" t="s">
        <v>29</v>
      </c>
      <c r="F20" s="1" t="s">
        <v>30</v>
      </c>
      <c r="G20" s="1" t="s">
        <v>104</v>
      </c>
      <c r="H20" s="1" t="s">
        <v>32</v>
      </c>
      <c r="I20" s="1">
        <v>74978.009999999995</v>
      </c>
      <c r="J20" s="3" t="s">
        <v>100</v>
      </c>
      <c r="K20" s="3" t="s">
        <v>105</v>
      </c>
      <c r="L20" s="1">
        <v>74978.009999999995</v>
      </c>
      <c r="M20" s="1" t="s">
        <v>106</v>
      </c>
      <c r="N20" s="1" t="s">
        <v>107</v>
      </c>
      <c r="O20" s="1" t="s">
        <v>108</v>
      </c>
      <c r="P20" s="1" t="s">
        <v>27</v>
      </c>
    </row>
    <row r="21" spans="1:16" ht="15.75" customHeight="1" x14ac:dyDescent="0.25">
      <c r="A21" s="1" t="s">
        <v>16</v>
      </c>
      <c r="B21" s="2" t="str">
        <f>HYPERLINK("https://www.google.com/url?q=https%3A%2F%2Fcontrataciondelestado.es%2Fwps%2Fpoc%3Furi%3Ddeeplink%3Adetalle_licitacion%26idEvl%3D%252F25b%252FIJGFq%252Fs%252BnLj3vAg5A%253D%253D", "CON_PR/ABR/2025000011")</f>
        <v>CON_PR/ABR/2025000011</v>
      </c>
      <c r="C21" s="1" t="s">
        <v>17</v>
      </c>
      <c r="D21" s="1" t="s">
        <v>109</v>
      </c>
      <c r="E21" s="1" t="s">
        <v>19</v>
      </c>
      <c r="F21" s="1" t="s">
        <v>30</v>
      </c>
      <c r="G21" s="1" t="s">
        <v>85</v>
      </c>
      <c r="H21" s="1" t="s">
        <v>32</v>
      </c>
      <c r="I21" s="1">
        <v>24864</v>
      </c>
      <c r="J21" s="3" t="s">
        <v>110</v>
      </c>
      <c r="K21" s="3" t="s">
        <v>92</v>
      </c>
      <c r="L21" s="1">
        <v>11616</v>
      </c>
      <c r="M21" s="1" t="s">
        <v>111</v>
      </c>
      <c r="N21" s="1" t="s">
        <v>112</v>
      </c>
      <c r="O21" s="1" t="s">
        <v>108</v>
      </c>
      <c r="P21" s="1" t="s">
        <v>27</v>
      </c>
    </row>
    <row r="22" spans="1:16" ht="13.2" x14ac:dyDescent="0.25">
      <c r="A22" s="1" t="s">
        <v>16</v>
      </c>
      <c r="B22" s="2" t="str">
        <f>HYPERLINK("https://www.google.com/url?q=https%3A%2F%2Fcontrataciondelestado.es%2Fwps%2Fpoc%3Furi%3Ddeeplink%3Adetalle_licitacion%26idEvl%3DOVQV4w9lpy4l5NjlNci%252BtA%253D%253D", "OBR/ABR/2024000148")</f>
        <v>OBR/ABR/2024000148</v>
      </c>
      <c r="C22" s="1" t="s">
        <v>17</v>
      </c>
      <c r="D22" s="1" t="s">
        <v>113</v>
      </c>
      <c r="E22" s="1" t="s">
        <v>19</v>
      </c>
      <c r="F22" s="1" t="s">
        <v>41</v>
      </c>
      <c r="G22" s="1" t="s">
        <v>31</v>
      </c>
      <c r="H22" s="1" t="s">
        <v>32</v>
      </c>
      <c r="I22" s="1">
        <v>171830.78</v>
      </c>
      <c r="J22" s="3" t="s">
        <v>114</v>
      </c>
      <c r="K22" s="3" t="s">
        <v>115</v>
      </c>
      <c r="L22" s="1">
        <v>149500</v>
      </c>
      <c r="M22" s="1" t="s">
        <v>101</v>
      </c>
      <c r="N22" s="1" t="s">
        <v>102</v>
      </c>
      <c r="O22" s="1" t="s">
        <v>14</v>
      </c>
      <c r="P22" s="1" t="s">
        <v>27</v>
      </c>
    </row>
    <row r="23" spans="1:16" ht="13.2" x14ac:dyDescent="0.25">
      <c r="A23" s="1" t="s">
        <v>16</v>
      </c>
      <c r="B23" s="2" t="str">
        <f>HYPERLINK("https://www.google.com/url?q=https%3A%2F%2Fcontrataciondelestado.es%2Fwps%2Fpoc%3Furi%3Ddeeplink%3Adetalle_licitacion%26idEvl%3DpfRYZdsIB7kUqXM96WStVA%253D%253D", "OBR/ABR/2025000013")</f>
        <v>OBR/ABR/2025000013</v>
      </c>
      <c r="C23" s="1" t="s">
        <v>17</v>
      </c>
      <c r="D23" s="1" t="s">
        <v>116</v>
      </c>
      <c r="E23" s="1" t="s">
        <v>19</v>
      </c>
      <c r="F23" s="1" t="s">
        <v>41</v>
      </c>
      <c r="G23" s="1" t="s">
        <v>31</v>
      </c>
      <c r="H23" s="1" t="s">
        <v>32</v>
      </c>
      <c r="I23" s="1">
        <v>205795.69</v>
      </c>
      <c r="J23" s="3" t="s">
        <v>117</v>
      </c>
      <c r="K23" s="3" t="s">
        <v>80</v>
      </c>
      <c r="L23" s="1">
        <v>182589</v>
      </c>
      <c r="M23" s="1" t="s">
        <v>118</v>
      </c>
      <c r="N23" s="1" t="s">
        <v>119</v>
      </c>
      <c r="O23" s="1" t="s">
        <v>108</v>
      </c>
      <c r="P23" s="1" t="s">
        <v>27</v>
      </c>
    </row>
    <row r="24" spans="1:16" ht="13.2" x14ac:dyDescent="0.25">
      <c r="A24" s="1" t="s">
        <v>16</v>
      </c>
      <c r="B24" s="2" t="str">
        <f>HYPERLINK("https://www.google.com/url?q=https%3A%2F%2Fcontrataciondelestado.es%2Fwps%2Fpoc%3Furi%3Ddeeplink%3Adetalle_licitacion%26idEvl%3DUEd5DlX1J5z10HRJw8TEnQ%253D%253D", "OBR/ABR/2025000006")</f>
        <v>OBR/ABR/2025000006</v>
      </c>
      <c r="C24" s="1" t="s">
        <v>17</v>
      </c>
      <c r="D24" s="1" t="s">
        <v>120</v>
      </c>
      <c r="E24" s="1" t="s">
        <v>19</v>
      </c>
      <c r="F24" s="1" t="s">
        <v>41</v>
      </c>
      <c r="G24" s="1" t="s">
        <v>31</v>
      </c>
      <c r="H24" s="1" t="s">
        <v>32</v>
      </c>
      <c r="I24" s="1">
        <v>122400</v>
      </c>
      <c r="J24" s="3" t="s">
        <v>121</v>
      </c>
      <c r="K24" s="3" t="s">
        <v>92</v>
      </c>
      <c r="L24" s="1">
        <v>113746.32</v>
      </c>
      <c r="M24" s="1" t="s">
        <v>122</v>
      </c>
      <c r="N24" s="1" t="s">
        <v>123</v>
      </c>
      <c r="O24" s="1" t="s">
        <v>14</v>
      </c>
      <c r="P24" s="1" t="s">
        <v>27</v>
      </c>
    </row>
    <row r="25" spans="1:16" ht="13.2" x14ac:dyDescent="0.25">
      <c r="A25" s="1" t="s">
        <v>16</v>
      </c>
      <c r="B25" s="2" t="str">
        <f>HYPERLINK("https://www.google.com/url?q=https%3A%2F%2Fcontrataciondelestado.es%2Fwps%2Fpoc%3Furi%3Ddeeplink%3Adetalle_licitacion%26idEvl%3DuryKlUX8clHECtSnloz%252BZQ%253D%253D", "OBR/ABR/2025000005")</f>
        <v>OBR/ABR/2025000005</v>
      </c>
      <c r="C25" s="1" t="s">
        <v>17</v>
      </c>
      <c r="D25" s="1" t="s">
        <v>124</v>
      </c>
      <c r="E25" s="1" t="s">
        <v>19</v>
      </c>
      <c r="F25" s="1" t="s">
        <v>41</v>
      </c>
      <c r="G25" s="1" t="s">
        <v>47</v>
      </c>
      <c r="H25" s="1" t="s">
        <v>32</v>
      </c>
      <c r="I25" s="1">
        <v>359535.39</v>
      </c>
      <c r="J25" s="3" t="s">
        <v>121</v>
      </c>
      <c r="K25" s="3" t="s">
        <v>125</v>
      </c>
      <c r="L25" s="1">
        <v>306894.82</v>
      </c>
      <c r="M25" s="1" t="s">
        <v>126</v>
      </c>
      <c r="N25" s="1" t="s">
        <v>127</v>
      </c>
      <c r="O25" s="1" t="s">
        <v>108</v>
      </c>
      <c r="P25" s="1" t="s">
        <v>27</v>
      </c>
    </row>
    <row r="26" spans="1:16" ht="13.2" x14ac:dyDescent="0.25">
      <c r="A26" s="1" t="s">
        <v>16</v>
      </c>
      <c r="B26" s="2" t="str">
        <f>HYPERLINK("https://www.google.com/url?q=https%3A%2F%2Fcontrataciondelestado.es%2Fwps%2Fpoc%3Furi%3Ddeeplink%3Adetalle_licitacion%26idEvl%3D83uhzK3vGpf%252B3JAijKO%252Bkg%253D%253D", "OBR/ABR/2024000146")</f>
        <v>OBR/ABR/2024000146</v>
      </c>
      <c r="C26" s="1" t="s">
        <v>17</v>
      </c>
      <c r="D26" s="1" t="s">
        <v>128</v>
      </c>
      <c r="E26" s="1" t="s">
        <v>19</v>
      </c>
      <c r="F26" s="1" t="s">
        <v>41</v>
      </c>
      <c r="G26" s="1" t="s">
        <v>99</v>
      </c>
      <c r="H26" s="1" t="s">
        <v>32</v>
      </c>
      <c r="I26" s="1">
        <v>75600</v>
      </c>
      <c r="J26" s="3" t="s">
        <v>129</v>
      </c>
      <c r="K26" s="3" t="s">
        <v>121</v>
      </c>
      <c r="L26" s="1">
        <v>62422.91</v>
      </c>
      <c r="M26" s="1" t="s">
        <v>130</v>
      </c>
      <c r="N26" s="1" t="s">
        <v>131</v>
      </c>
      <c r="O26" s="1" t="s">
        <v>14</v>
      </c>
      <c r="P26" s="1" t="s">
        <v>27</v>
      </c>
    </row>
    <row r="27" spans="1:16" ht="13.2" x14ac:dyDescent="0.25">
      <c r="A27" s="1" t="s">
        <v>16</v>
      </c>
      <c r="B27" s="2" t="str">
        <f>HYPERLINK("https://www.google.com/url?q=https%3A%2F%2Fcontrataciondelestado.es%2Fwps%2Fpoc%3Furi%3Ddeeplink%3Adetalle_licitacion%26idEvl%3DHJrpU8dWlIiGCFcHcNGIlQ%253D%253D", "OBR/ABR/2025000001")</f>
        <v>OBR/ABR/2025000001</v>
      </c>
      <c r="C27" s="1" t="s">
        <v>17</v>
      </c>
      <c r="D27" s="1" t="s">
        <v>132</v>
      </c>
      <c r="E27" s="1" t="s">
        <v>19</v>
      </c>
      <c r="F27" s="1" t="s">
        <v>41</v>
      </c>
      <c r="G27" s="1" t="s">
        <v>31</v>
      </c>
      <c r="H27" s="1" t="s">
        <v>32</v>
      </c>
      <c r="I27" s="1">
        <v>182509.33</v>
      </c>
      <c r="J27" s="3" t="s">
        <v>129</v>
      </c>
      <c r="K27" s="3" t="s">
        <v>133</v>
      </c>
      <c r="L27" s="1">
        <v>160589.97</v>
      </c>
      <c r="M27" s="1" t="s">
        <v>134</v>
      </c>
      <c r="N27" s="1" t="s">
        <v>135</v>
      </c>
      <c r="O27" s="1" t="s">
        <v>14</v>
      </c>
      <c r="P27" s="1" t="s">
        <v>27</v>
      </c>
    </row>
    <row r="28" spans="1:16" ht="13.2" x14ac:dyDescent="0.25">
      <c r="A28" s="1" t="s">
        <v>16</v>
      </c>
      <c r="B28" s="2" t="str">
        <f>HYPERLINK("https://www.google.com/url?q=https%3A%2F%2Fcontrataciondelestado.es%2Fwps%2Fpoc%3Furi%3Ddeeplink%3Adetalle_licitacion%26idEvl%3DtecXuxzGem%252FN3k3tjedSGw%253D%253D", "OBR/ABR/2025000002")</f>
        <v>OBR/ABR/2025000002</v>
      </c>
      <c r="C28" s="1" t="s">
        <v>17</v>
      </c>
      <c r="D28" s="1" t="s">
        <v>136</v>
      </c>
      <c r="E28" s="1" t="s">
        <v>19</v>
      </c>
      <c r="F28" s="1" t="s">
        <v>41</v>
      </c>
      <c r="G28" s="1" t="s">
        <v>31</v>
      </c>
      <c r="H28" s="1" t="s">
        <v>32</v>
      </c>
      <c r="I28" s="1">
        <v>241540.71</v>
      </c>
      <c r="J28" s="3" t="s">
        <v>137</v>
      </c>
      <c r="K28" s="3" t="s">
        <v>97</v>
      </c>
      <c r="L28" s="1">
        <v>196226.91</v>
      </c>
      <c r="M28" s="1" t="s">
        <v>66</v>
      </c>
      <c r="N28" s="1" t="s">
        <v>67</v>
      </c>
      <c r="O28" s="1" t="s">
        <v>14</v>
      </c>
      <c r="P28" s="1" t="s">
        <v>27</v>
      </c>
    </row>
    <row r="29" spans="1:16" ht="13.2" x14ac:dyDescent="0.25">
      <c r="A29" s="1" t="s">
        <v>16</v>
      </c>
      <c r="B29" s="2" t="str">
        <f>HYPERLINK("https://www.google.com/url?q=https%3A%2F%2Fcontrataciondelestado.es%2Fwps%2Fpoc%3Furi%3Ddeeplink%3Adetalle_licitacion%26idEvl%3DRBE6lVH8G8KLAncw3qdZkA%253D%253D", "OBR/ABR/2024000150")</f>
        <v>OBR/ABR/2024000150</v>
      </c>
      <c r="C29" s="1" t="s">
        <v>17</v>
      </c>
      <c r="D29" s="1" t="s">
        <v>138</v>
      </c>
      <c r="E29" s="1" t="s">
        <v>19</v>
      </c>
      <c r="F29" s="1" t="s">
        <v>41</v>
      </c>
      <c r="G29" s="1" t="s">
        <v>31</v>
      </c>
      <c r="H29" s="1" t="s">
        <v>32</v>
      </c>
      <c r="I29" s="1">
        <v>161400</v>
      </c>
      <c r="J29" s="3" t="s">
        <v>139</v>
      </c>
      <c r="K29" s="3" t="s">
        <v>137</v>
      </c>
      <c r="L29" s="1">
        <v>137637.5</v>
      </c>
      <c r="M29" s="1" t="s">
        <v>140</v>
      </c>
      <c r="N29" s="1" t="s">
        <v>141</v>
      </c>
      <c r="O29" s="1" t="s">
        <v>14</v>
      </c>
      <c r="P29" s="1" t="s">
        <v>27</v>
      </c>
    </row>
    <row r="30" spans="1:16" ht="13.2" x14ac:dyDescent="0.25">
      <c r="A30" s="1" t="s">
        <v>16</v>
      </c>
      <c r="B30" s="2" t="str">
        <f>HYPERLINK("https://www.google.com/url?q=https%3A%2F%2Fcontrataciondelestado.es%2Fwps%2Fpoc%3Furi%3Ddeeplink%3Adetalle_licitacion%26idEvl%3DZABEfU3%252Bb0sUqXM96WStVA%253D%253D", "OBR/ABR/2024000149")</f>
        <v>OBR/ABR/2024000149</v>
      </c>
      <c r="C30" s="1" t="s">
        <v>17</v>
      </c>
      <c r="D30" s="1" t="s">
        <v>142</v>
      </c>
      <c r="E30" s="1" t="s">
        <v>19</v>
      </c>
      <c r="F30" s="1" t="s">
        <v>41</v>
      </c>
      <c r="G30" s="1" t="s">
        <v>31</v>
      </c>
      <c r="H30" s="1" t="s">
        <v>32</v>
      </c>
      <c r="I30" s="1">
        <v>88627.38</v>
      </c>
      <c r="J30" s="3" t="s">
        <v>143</v>
      </c>
      <c r="K30" s="3" t="s">
        <v>139</v>
      </c>
      <c r="L30" s="1">
        <v>72466.899999999994</v>
      </c>
      <c r="M30" s="1" t="s">
        <v>140</v>
      </c>
      <c r="N30" s="1" t="s">
        <v>141</v>
      </c>
      <c r="O30" s="1" t="s">
        <v>14</v>
      </c>
      <c r="P30" s="1" t="s">
        <v>27</v>
      </c>
    </row>
    <row r="31" spans="1:16" ht="13.2" x14ac:dyDescent="0.25">
      <c r="A31" s="1" t="s">
        <v>16</v>
      </c>
      <c r="B31" s="2" t="str">
        <f t="shared" ref="B31:B35" si="0">HYPERLINK("https://www.google.com/url?q=https%3A%2F%2Fcontrataciondelestado.es%2Fwps%2Fpoc%3Furi%3Ddeeplink%3Adetalle_licitacion%26idEvl%3D8Oj%252FksB71xXLIx6q1oPaMg%253D%253D", "SUMIN/ABR/2024000129")</f>
        <v>SUMIN/ABR/2024000129</v>
      </c>
      <c r="C31" s="3" t="s">
        <v>144</v>
      </c>
      <c r="D31" s="1" t="s">
        <v>145</v>
      </c>
      <c r="E31" s="1" t="s">
        <v>19</v>
      </c>
      <c r="F31" s="1" t="s">
        <v>73</v>
      </c>
      <c r="G31" s="1" t="s">
        <v>146</v>
      </c>
      <c r="H31" s="1" t="s">
        <v>32</v>
      </c>
      <c r="I31" s="1">
        <v>993410</v>
      </c>
      <c r="J31" s="3" t="s">
        <v>147</v>
      </c>
      <c r="K31" s="3" t="s">
        <v>114</v>
      </c>
      <c r="L31" s="1">
        <v>187550</v>
      </c>
      <c r="M31" s="1" t="s">
        <v>148</v>
      </c>
      <c r="N31" s="1" t="s">
        <v>149</v>
      </c>
      <c r="O31" s="1" t="s">
        <v>14</v>
      </c>
      <c r="P31" s="1" t="s">
        <v>150</v>
      </c>
    </row>
    <row r="32" spans="1:16" ht="13.2" x14ac:dyDescent="0.25">
      <c r="A32" s="1" t="s">
        <v>16</v>
      </c>
      <c r="B32" s="2" t="str">
        <f t="shared" si="0"/>
        <v>SUMIN/ABR/2024000129</v>
      </c>
      <c r="C32" s="3" t="s">
        <v>151</v>
      </c>
      <c r="D32" s="1" t="s">
        <v>145</v>
      </c>
      <c r="E32" s="1" t="s">
        <v>19</v>
      </c>
      <c r="F32" s="1" t="s">
        <v>73</v>
      </c>
      <c r="G32" s="1" t="s">
        <v>146</v>
      </c>
      <c r="H32" s="1" t="s">
        <v>32</v>
      </c>
      <c r="I32" s="1">
        <v>993410</v>
      </c>
      <c r="J32" s="3" t="s">
        <v>147</v>
      </c>
      <c r="K32" s="3" t="s">
        <v>114</v>
      </c>
      <c r="L32" s="1">
        <v>187550</v>
      </c>
      <c r="M32" s="1" t="s">
        <v>148</v>
      </c>
      <c r="N32" s="1" t="s">
        <v>149</v>
      </c>
      <c r="O32" s="1" t="s">
        <v>14</v>
      </c>
      <c r="P32" s="1" t="s">
        <v>152</v>
      </c>
    </row>
    <row r="33" spans="1:16" ht="13.2" x14ac:dyDescent="0.25">
      <c r="A33" s="1" t="s">
        <v>16</v>
      </c>
      <c r="B33" s="2" t="str">
        <f t="shared" si="0"/>
        <v>SUMIN/ABR/2024000129</v>
      </c>
      <c r="C33" s="3" t="s">
        <v>153</v>
      </c>
      <c r="D33" s="1" t="s">
        <v>145</v>
      </c>
      <c r="E33" s="1" t="s">
        <v>19</v>
      </c>
      <c r="F33" s="1" t="s">
        <v>73</v>
      </c>
      <c r="G33" s="1" t="s">
        <v>146</v>
      </c>
      <c r="H33" s="1" t="s">
        <v>32</v>
      </c>
      <c r="I33" s="1">
        <v>993410</v>
      </c>
      <c r="J33" s="3" t="s">
        <v>147</v>
      </c>
      <c r="K33" s="3" t="s">
        <v>114</v>
      </c>
      <c r="L33" s="1">
        <v>187550</v>
      </c>
      <c r="M33" s="1" t="s">
        <v>148</v>
      </c>
      <c r="N33" s="1" t="s">
        <v>149</v>
      </c>
      <c r="O33" s="1" t="s">
        <v>14</v>
      </c>
      <c r="P33" s="1" t="s">
        <v>154</v>
      </c>
    </row>
    <row r="34" spans="1:16" ht="13.2" x14ac:dyDescent="0.25">
      <c r="A34" s="1" t="s">
        <v>16</v>
      </c>
      <c r="B34" s="2" t="str">
        <f t="shared" si="0"/>
        <v>SUMIN/ABR/2024000129</v>
      </c>
      <c r="C34" s="3" t="s">
        <v>155</v>
      </c>
      <c r="D34" s="1" t="s">
        <v>145</v>
      </c>
      <c r="E34" s="1" t="s">
        <v>19</v>
      </c>
      <c r="F34" s="1" t="s">
        <v>73</v>
      </c>
      <c r="G34" s="1" t="s">
        <v>146</v>
      </c>
      <c r="H34" s="1" t="s">
        <v>32</v>
      </c>
      <c r="I34" s="1">
        <v>993410</v>
      </c>
      <c r="J34" s="3" t="s">
        <v>147</v>
      </c>
      <c r="K34" s="3" t="s">
        <v>114</v>
      </c>
      <c r="L34" s="1">
        <v>187550</v>
      </c>
      <c r="M34" s="1" t="s">
        <v>148</v>
      </c>
      <c r="N34" s="1" t="s">
        <v>149</v>
      </c>
      <c r="O34" s="1" t="s">
        <v>14</v>
      </c>
      <c r="P34" s="1" t="s">
        <v>156</v>
      </c>
    </row>
    <row r="35" spans="1:16" ht="13.2" x14ac:dyDescent="0.25">
      <c r="A35" s="1" t="s">
        <v>16</v>
      </c>
      <c r="B35" s="2" t="str">
        <f t="shared" si="0"/>
        <v>SUMIN/ABR/2024000129</v>
      </c>
      <c r="C35" s="3" t="s">
        <v>157</v>
      </c>
      <c r="D35" s="1" t="s">
        <v>145</v>
      </c>
      <c r="E35" s="1" t="s">
        <v>19</v>
      </c>
      <c r="F35" s="1" t="s">
        <v>73</v>
      </c>
      <c r="G35" s="1" t="s">
        <v>146</v>
      </c>
      <c r="H35" s="1" t="s">
        <v>32</v>
      </c>
      <c r="I35" s="1">
        <v>993410</v>
      </c>
      <c r="J35" s="3" t="s">
        <v>147</v>
      </c>
      <c r="K35" s="3" t="s">
        <v>114</v>
      </c>
      <c r="L35" s="1">
        <v>187550</v>
      </c>
      <c r="M35" s="1" t="s">
        <v>148</v>
      </c>
      <c r="N35" s="1" t="s">
        <v>149</v>
      </c>
      <c r="O35" s="1" t="s">
        <v>14</v>
      </c>
      <c r="P35" s="1" t="s">
        <v>158</v>
      </c>
    </row>
    <row r="36" spans="1:16" ht="13.2" x14ac:dyDescent="0.25">
      <c r="A36" s="1" t="s">
        <v>16</v>
      </c>
      <c r="B36" s="2" t="str">
        <f>HYPERLINK("https://www.google.com/url?q=https%3A%2F%2Fcontrataciondelestado.es%2Fwps%2Fpoc%3Furi%3Ddeeplink%3Adetalle_licitacion%26idEvl%3DSB6%252BdnctU4y2gkLQ8TeYKA%253D%253D", "SERV/ABR/2025000007")</f>
        <v>SERV/ABR/2025000007</v>
      </c>
      <c r="C36" s="1" t="s">
        <v>17</v>
      </c>
      <c r="D36" s="1" t="s">
        <v>159</v>
      </c>
      <c r="E36" s="1" t="s">
        <v>19</v>
      </c>
      <c r="F36" s="1" t="s">
        <v>20</v>
      </c>
      <c r="G36" s="1" t="s">
        <v>74</v>
      </c>
      <c r="H36" s="1" t="s">
        <v>32</v>
      </c>
      <c r="I36" s="1">
        <v>0.01</v>
      </c>
      <c r="J36" s="3" t="s">
        <v>160</v>
      </c>
      <c r="K36" s="3" t="s">
        <v>161</v>
      </c>
      <c r="L36" s="1">
        <v>42.3</v>
      </c>
      <c r="M36" s="1" t="s">
        <v>162</v>
      </c>
      <c r="N36" s="1" t="s">
        <v>163</v>
      </c>
      <c r="O36" s="1" t="s">
        <v>14</v>
      </c>
      <c r="P36" s="1" t="s">
        <v>27</v>
      </c>
    </row>
    <row r="37" spans="1:16" ht="13.2" x14ac:dyDescent="0.25">
      <c r="A37" s="1" t="s">
        <v>16</v>
      </c>
      <c r="B37" s="2" t="str">
        <f>HYPERLINK("https://www.google.com/url?q=https%3A%2F%2Fcontrataciondelestado.es%2Fwps%2Fpoc%3Furi%3Ddeeplink%3Adetalle_licitacion%26idEvl%3D82Rb8F5VICcXhk1FZxEyvw%253D%253D", "CON_PR/NEG_SINP/2024000140")</f>
        <v>CON_PR/NEG_SINP/2024000140</v>
      </c>
      <c r="C37" s="1" t="s">
        <v>17</v>
      </c>
      <c r="D37" s="1" t="s">
        <v>164</v>
      </c>
      <c r="E37" s="1" t="s">
        <v>29</v>
      </c>
      <c r="F37" s="1" t="s">
        <v>30</v>
      </c>
      <c r="G37" s="1" t="s">
        <v>165</v>
      </c>
      <c r="H37" s="1" t="s">
        <v>32</v>
      </c>
      <c r="I37" s="1">
        <v>30000</v>
      </c>
      <c r="J37" s="3" t="s">
        <v>166</v>
      </c>
      <c r="K37" s="3" t="s">
        <v>167</v>
      </c>
      <c r="L37" s="1">
        <v>30000</v>
      </c>
      <c r="M37" s="1" t="s">
        <v>168</v>
      </c>
      <c r="N37" s="1" t="s">
        <v>169</v>
      </c>
      <c r="O37" s="1" t="s">
        <v>14</v>
      </c>
      <c r="P37" s="1" t="s">
        <v>27</v>
      </c>
    </row>
    <row r="38" spans="1:16" ht="13.2" x14ac:dyDescent="0.25">
      <c r="A38" s="1" t="s">
        <v>16</v>
      </c>
      <c r="B38" s="2" t="str">
        <f t="shared" ref="B38:B39" si="1">HYPERLINK("https://www.google.com/url?q=https%3A%2F%2Fcontrataciondelestado.es%2Fwps%2Fpoc%3Furi%3Ddeeplink%3Adetalle_licitacion%26idEvl%3DONoH8cndAzyLAncw3qdZkA%253D%253D", "SUMIN/ABR/2024000139")</f>
        <v>SUMIN/ABR/2024000139</v>
      </c>
      <c r="C38" s="3" t="s">
        <v>151</v>
      </c>
      <c r="D38" s="1" t="s">
        <v>170</v>
      </c>
      <c r="E38" s="1" t="s">
        <v>19</v>
      </c>
      <c r="F38" s="1" t="s">
        <v>73</v>
      </c>
      <c r="G38" s="1" t="s">
        <v>31</v>
      </c>
      <c r="H38" s="1" t="s">
        <v>32</v>
      </c>
      <c r="I38" s="1">
        <v>140600</v>
      </c>
      <c r="J38" s="3" t="s">
        <v>166</v>
      </c>
      <c r="K38" s="3" t="s">
        <v>171</v>
      </c>
      <c r="L38" s="1">
        <v>70300</v>
      </c>
      <c r="M38" s="1" t="s">
        <v>172</v>
      </c>
      <c r="N38" s="1" t="s">
        <v>173</v>
      </c>
      <c r="O38" s="1" t="s">
        <v>14</v>
      </c>
      <c r="P38" s="1" t="s">
        <v>174</v>
      </c>
    </row>
    <row r="39" spans="1:16" ht="13.2" x14ac:dyDescent="0.25">
      <c r="A39" s="1" t="s">
        <v>16</v>
      </c>
      <c r="B39" s="2" t="str">
        <f t="shared" si="1"/>
        <v>SUMIN/ABR/2024000139</v>
      </c>
      <c r="C39" s="3" t="s">
        <v>155</v>
      </c>
      <c r="D39" s="1" t="s">
        <v>170</v>
      </c>
      <c r="E39" s="1" t="s">
        <v>19</v>
      </c>
      <c r="F39" s="1" t="s">
        <v>73</v>
      </c>
      <c r="G39" s="1" t="s">
        <v>31</v>
      </c>
      <c r="H39" s="1" t="s">
        <v>32</v>
      </c>
      <c r="I39" s="1">
        <v>140600</v>
      </c>
      <c r="J39" s="3" t="s">
        <v>166</v>
      </c>
      <c r="K39" s="3" t="s">
        <v>171</v>
      </c>
      <c r="L39" s="1">
        <v>70300</v>
      </c>
      <c r="M39" s="1" t="s">
        <v>172</v>
      </c>
      <c r="N39" s="1" t="s">
        <v>173</v>
      </c>
      <c r="O39" s="1" t="s">
        <v>14</v>
      </c>
      <c r="P39" s="1" t="s">
        <v>175</v>
      </c>
    </row>
    <row r="40" spans="1:16" ht="13.2" x14ac:dyDescent="0.25">
      <c r="A40" s="1" t="s">
        <v>16</v>
      </c>
      <c r="B40" s="2" t="str">
        <f t="shared" ref="B40:B43" si="2">HYPERLINK("https://www.google.com/url?q=https%3A%2F%2Fcontrataciondelestado.es%2Fwps%2Fpoc%3Furi%3Ddeeplink%3Adetalle_licitacion%26idEvl%3DwyeCa4HpQhM%252B1TMyIiZmzw%253D%253D", "SERV/ABR/2024000081")</f>
        <v>SERV/ABR/2024000081</v>
      </c>
      <c r="C40" s="3" t="s">
        <v>157</v>
      </c>
      <c r="D40" s="1" t="s">
        <v>176</v>
      </c>
      <c r="E40" s="1" t="s">
        <v>19</v>
      </c>
      <c r="F40" s="1" t="s">
        <v>20</v>
      </c>
      <c r="G40" s="1" t="s">
        <v>85</v>
      </c>
      <c r="H40" s="1" t="s">
        <v>32</v>
      </c>
      <c r="I40" s="1">
        <v>810000.78</v>
      </c>
      <c r="J40" s="3" t="s">
        <v>177</v>
      </c>
      <c r="K40" s="3" t="s">
        <v>171</v>
      </c>
      <c r="L40" s="1">
        <v>210540</v>
      </c>
      <c r="M40" s="1" t="s">
        <v>178</v>
      </c>
      <c r="N40" s="1" t="s">
        <v>179</v>
      </c>
      <c r="O40" s="1" t="s">
        <v>108</v>
      </c>
      <c r="P40" s="1" t="s">
        <v>180</v>
      </c>
    </row>
    <row r="41" spans="1:16" ht="13.2" x14ac:dyDescent="0.25">
      <c r="A41" s="1" t="s">
        <v>16</v>
      </c>
      <c r="B41" s="2" t="str">
        <f t="shared" si="2"/>
        <v>SERV/ABR/2024000081</v>
      </c>
      <c r="C41" s="3" t="s">
        <v>155</v>
      </c>
      <c r="D41" s="1" t="s">
        <v>176</v>
      </c>
      <c r="E41" s="1" t="s">
        <v>19</v>
      </c>
      <c r="F41" s="1" t="s">
        <v>20</v>
      </c>
      <c r="G41" s="1" t="s">
        <v>85</v>
      </c>
      <c r="H41" s="1" t="s">
        <v>32</v>
      </c>
      <c r="I41" s="1">
        <v>810000.78</v>
      </c>
      <c r="J41" s="3" t="s">
        <v>177</v>
      </c>
      <c r="K41" s="3" t="s">
        <v>171</v>
      </c>
      <c r="L41" s="1">
        <v>226512</v>
      </c>
      <c r="M41" s="1" t="s">
        <v>178</v>
      </c>
      <c r="N41" s="1" t="s">
        <v>179</v>
      </c>
      <c r="O41" s="1" t="s">
        <v>108</v>
      </c>
      <c r="P41" s="1" t="s">
        <v>181</v>
      </c>
    </row>
    <row r="42" spans="1:16" ht="13.2" x14ac:dyDescent="0.25">
      <c r="A42" s="1" t="s">
        <v>16</v>
      </c>
      <c r="B42" s="2" t="str">
        <f t="shared" si="2"/>
        <v>SERV/ABR/2024000081</v>
      </c>
      <c r="C42" s="3" t="s">
        <v>144</v>
      </c>
      <c r="D42" s="1" t="s">
        <v>176</v>
      </c>
      <c r="E42" s="1" t="s">
        <v>19</v>
      </c>
      <c r="F42" s="1" t="s">
        <v>20</v>
      </c>
      <c r="G42" s="1" t="s">
        <v>85</v>
      </c>
      <c r="H42" s="1" t="s">
        <v>32</v>
      </c>
      <c r="I42" s="1">
        <v>810000.78</v>
      </c>
      <c r="J42" s="3" t="s">
        <v>177</v>
      </c>
      <c r="K42" s="3" t="s">
        <v>182</v>
      </c>
      <c r="L42" s="1">
        <v>57909.81</v>
      </c>
      <c r="M42" s="1" t="s">
        <v>183</v>
      </c>
      <c r="N42" s="1" t="s">
        <v>184</v>
      </c>
      <c r="O42" s="1" t="s">
        <v>108</v>
      </c>
      <c r="P42" s="1" t="s">
        <v>185</v>
      </c>
    </row>
    <row r="43" spans="1:16" ht="13.2" x14ac:dyDescent="0.25">
      <c r="A43" s="1" t="s">
        <v>16</v>
      </c>
      <c r="B43" s="2" t="str">
        <f t="shared" si="2"/>
        <v>SERV/ABR/2024000081</v>
      </c>
      <c r="C43" s="3" t="s">
        <v>151</v>
      </c>
      <c r="D43" s="1" t="s">
        <v>176</v>
      </c>
      <c r="E43" s="1" t="s">
        <v>19</v>
      </c>
      <c r="F43" s="1" t="s">
        <v>20</v>
      </c>
      <c r="G43" s="1" t="s">
        <v>85</v>
      </c>
      <c r="H43" s="1" t="s">
        <v>22</v>
      </c>
      <c r="I43" s="1">
        <v>810000.78</v>
      </c>
      <c r="J43" s="3" t="s">
        <v>177</v>
      </c>
      <c r="K43" s="3" t="s">
        <v>182</v>
      </c>
      <c r="L43" s="1">
        <v>213542.69</v>
      </c>
      <c r="M43" s="1" t="s">
        <v>183</v>
      </c>
      <c r="N43" s="1" t="s">
        <v>184</v>
      </c>
      <c r="O43" s="1" t="s">
        <v>108</v>
      </c>
      <c r="P43" s="1" t="s">
        <v>186</v>
      </c>
    </row>
    <row r="44" spans="1:16" ht="13.2" x14ac:dyDescent="0.25">
      <c r="A44" s="1" t="s">
        <v>16</v>
      </c>
      <c r="B44" s="2" t="str">
        <f>HYPERLINK("https://www.google.com/url?q=https%3A%2F%2Fcontrataciondelestado.es%2Fwps%2Fpoc%3Furi%3Ddeeplink%3Adetalle_licitacion%26idEvl%3DejCPgsBFsbBPpzdqOdhuWg%253D%253D", "SERV/ABR/2024000138")</f>
        <v>SERV/ABR/2024000138</v>
      </c>
      <c r="C44" s="1" t="s">
        <v>17</v>
      </c>
      <c r="D44" s="1" t="s">
        <v>187</v>
      </c>
      <c r="E44" s="1" t="s">
        <v>19</v>
      </c>
      <c r="F44" s="1" t="s">
        <v>20</v>
      </c>
      <c r="G44" s="1" t="s">
        <v>47</v>
      </c>
      <c r="H44" s="1" t="s">
        <v>32</v>
      </c>
      <c r="I44" s="1">
        <v>43772.31</v>
      </c>
      <c r="J44" s="3" t="s">
        <v>177</v>
      </c>
      <c r="K44" s="3" t="s">
        <v>166</v>
      </c>
      <c r="L44" s="1">
        <v>32850.29</v>
      </c>
      <c r="M44" s="1" t="s">
        <v>188</v>
      </c>
      <c r="N44" s="1" t="s">
        <v>189</v>
      </c>
      <c r="O44" s="1" t="s">
        <v>14</v>
      </c>
      <c r="P44" s="1" t="s">
        <v>27</v>
      </c>
    </row>
    <row r="45" spans="1:16" ht="13.2" x14ac:dyDescent="0.25">
      <c r="A45" s="1" t="s">
        <v>16</v>
      </c>
      <c r="B45" s="2" t="str">
        <f>HYPERLINK("https://www.google.com/url?q=https%3A%2F%2Fcontrataciondelestado.es%2Fwps%2Fpoc%3Furi%3Ddeeplink%3Adetalle_licitacion%26idEvl%3DyRy0x76cjzXN3k3tjedSGw%253D%253D", "OBR/ABR/2024000133")</f>
        <v>OBR/ABR/2024000133</v>
      </c>
      <c r="C45" s="1" t="s">
        <v>17</v>
      </c>
      <c r="D45" s="1" t="s">
        <v>190</v>
      </c>
      <c r="E45" s="1" t="s">
        <v>19</v>
      </c>
      <c r="F45" s="1" t="s">
        <v>41</v>
      </c>
      <c r="G45" s="1" t="s">
        <v>31</v>
      </c>
      <c r="H45" s="1" t="s">
        <v>32</v>
      </c>
      <c r="I45" s="1">
        <v>86076.51</v>
      </c>
      <c r="J45" s="3" t="s">
        <v>191</v>
      </c>
      <c r="K45" s="3" t="s">
        <v>177</v>
      </c>
      <c r="L45" s="1">
        <v>83055.22</v>
      </c>
      <c r="M45" s="1" t="s">
        <v>122</v>
      </c>
      <c r="N45" s="1" t="s">
        <v>123</v>
      </c>
      <c r="O45" s="1" t="s">
        <v>14</v>
      </c>
      <c r="P45" s="1" t="s">
        <v>27</v>
      </c>
    </row>
    <row r="46" spans="1:16" ht="13.2" x14ac:dyDescent="0.25">
      <c r="A46" s="1" t="s">
        <v>16</v>
      </c>
      <c r="B46" s="2" t="str">
        <f>HYPERLINK("https://www.google.com/url?q=https%3A%2F%2Fcontrataciondelestado.es%2Fwps%2Fpoc%3Furi%3Ddeeplink%3Adetalle_licitacion%26idEvl%3Dt2rfwxVHYxJJ8Trn0ZPzLw%253D%253D", "SERV/ABR/2024000137")</f>
        <v>SERV/ABR/2024000137</v>
      </c>
      <c r="C46" s="1" t="s">
        <v>17</v>
      </c>
      <c r="D46" s="1" t="s">
        <v>192</v>
      </c>
      <c r="E46" s="1" t="s">
        <v>19</v>
      </c>
      <c r="F46" s="1" t="s">
        <v>20</v>
      </c>
      <c r="G46" s="1" t="s">
        <v>79</v>
      </c>
      <c r="H46" s="1" t="s">
        <v>48</v>
      </c>
      <c r="I46" s="1">
        <v>114949.07</v>
      </c>
      <c r="J46" s="3" t="s">
        <v>193</v>
      </c>
      <c r="K46" s="1" t="s">
        <v>24</v>
      </c>
      <c r="L46" s="1">
        <v>0</v>
      </c>
      <c r="M46" s="1" t="s">
        <v>50</v>
      </c>
      <c r="N46" s="1" t="s">
        <v>51</v>
      </c>
      <c r="O46" s="1" t="s">
        <v>52</v>
      </c>
      <c r="P46" s="1" t="s">
        <v>27</v>
      </c>
    </row>
    <row r="47" spans="1:16" ht="13.2" x14ac:dyDescent="0.25">
      <c r="A47" s="1" t="s">
        <v>16</v>
      </c>
      <c r="B47" s="2" t="str">
        <f>HYPERLINK("https://www.google.com/url?q=https%3A%2F%2Fcontrataciondelestado.es%2Fwps%2Fpoc%3Furi%3Ddeeplink%3Adetalle_licitacion%26idEvl%3DInmuqBFX34Z4zIRvjBVCSw%253D%253D", "SERV/ABR/2024000134")</f>
        <v>SERV/ABR/2024000134</v>
      </c>
      <c r="C47" s="1" t="s">
        <v>17</v>
      </c>
      <c r="D47" s="1" t="s">
        <v>194</v>
      </c>
      <c r="E47" s="1" t="s">
        <v>19</v>
      </c>
      <c r="F47" s="1" t="s">
        <v>195</v>
      </c>
      <c r="G47" s="1" t="s">
        <v>196</v>
      </c>
      <c r="H47" s="1" t="s">
        <v>32</v>
      </c>
      <c r="I47" s="1">
        <v>218000</v>
      </c>
      <c r="J47" s="3" t="s">
        <v>193</v>
      </c>
      <c r="K47" s="3" t="s">
        <v>197</v>
      </c>
      <c r="L47" s="1">
        <v>193358</v>
      </c>
      <c r="M47" s="1" t="s">
        <v>198</v>
      </c>
      <c r="N47" s="1" t="s">
        <v>199</v>
      </c>
      <c r="O47" s="1" t="s">
        <v>14</v>
      </c>
      <c r="P47" s="1" t="s">
        <v>27</v>
      </c>
    </row>
    <row r="48" spans="1:16" ht="13.2" x14ac:dyDescent="0.25">
      <c r="A48" s="1" t="s">
        <v>16</v>
      </c>
      <c r="B48" s="2" t="str">
        <f>HYPERLINK("https://www.google.com/url?q=https%3A%2F%2Fcontrataciondelestado.es%2Fwps%2Fpoc%3Furi%3Ddeeplink%3Adetalle_licitacion%26idEvl%3DxuegTqgluL%252F9pbnDwlaUlg%253D%253D", "CON_PR/NEG_SINP/2024000145")</f>
        <v>CON_PR/NEG_SINP/2024000145</v>
      </c>
      <c r="C48" s="1" t="s">
        <v>17</v>
      </c>
      <c r="D48" s="1" t="s">
        <v>200</v>
      </c>
      <c r="E48" s="1" t="s">
        <v>29</v>
      </c>
      <c r="F48" s="1" t="s">
        <v>30</v>
      </c>
      <c r="G48" s="1" t="s">
        <v>31</v>
      </c>
      <c r="H48" s="1" t="s">
        <v>32</v>
      </c>
      <c r="I48" s="1">
        <v>20000</v>
      </c>
      <c r="J48" s="3" t="s">
        <v>201</v>
      </c>
      <c r="K48" s="3" t="s">
        <v>202</v>
      </c>
      <c r="L48" s="1">
        <v>20000</v>
      </c>
      <c r="M48" s="1" t="s">
        <v>203</v>
      </c>
      <c r="N48" s="1" t="s">
        <v>204</v>
      </c>
      <c r="O48" s="1" t="s">
        <v>14</v>
      </c>
      <c r="P48" s="1" t="s">
        <v>27</v>
      </c>
    </row>
    <row r="49" spans="1:16" ht="13.2" x14ac:dyDescent="0.25">
      <c r="A49" s="1" t="s">
        <v>16</v>
      </c>
      <c r="B49" s="2" t="str">
        <f>HYPERLINK("https://www.google.com/url?q=https%3A%2F%2Fcontrataciondelestado.es%2Fwps%2Fpoc%3Furi%3Ddeeplink%3Adetalle_licitacion%26idEvl%3D1W8lHFVAzwTzAq95uGTrDQ%253D%253D", "CON_PR/NEG_SINP/2024000143")</f>
        <v>CON_PR/NEG_SINP/2024000143</v>
      </c>
      <c r="C49" s="1" t="s">
        <v>17</v>
      </c>
      <c r="D49" s="1" t="s">
        <v>205</v>
      </c>
      <c r="E49" s="1" t="s">
        <v>29</v>
      </c>
      <c r="F49" s="1" t="s">
        <v>30</v>
      </c>
      <c r="G49" s="1" t="s">
        <v>206</v>
      </c>
      <c r="H49" s="1" t="s">
        <v>32</v>
      </c>
      <c r="I49" s="1">
        <v>40000</v>
      </c>
      <c r="J49" s="3" t="s">
        <v>201</v>
      </c>
      <c r="K49" s="3" t="s">
        <v>202</v>
      </c>
      <c r="L49" s="1">
        <v>40000</v>
      </c>
      <c r="M49" s="1" t="s">
        <v>207</v>
      </c>
      <c r="N49" s="1" t="s">
        <v>208</v>
      </c>
      <c r="O49" s="1" t="s">
        <v>14</v>
      </c>
      <c r="P49" s="1" t="s">
        <v>27</v>
      </c>
    </row>
    <row r="50" spans="1:16" ht="13.2" x14ac:dyDescent="0.25">
      <c r="A50" s="1" t="s">
        <v>16</v>
      </c>
      <c r="B50" s="2" t="str">
        <f>HYPERLINK("https://www.google.com/url?q=https%3A%2F%2Fcontrataciondelestado.es%2Fwps%2Fpoc%3Furi%3Ddeeplink%3Adetalle_licitacion%26idEvl%3DvAoq2bo17sEwYTJJ03sHog%253D%253D", "CON_PR/NEG_SINP/2024000141")</f>
        <v>CON_PR/NEG_SINP/2024000141</v>
      </c>
      <c r="C50" s="1" t="s">
        <v>17</v>
      </c>
      <c r="D50" s="1" t="s">
        <v>209</v>
      </c>
      <c r="E50" s="1" t="s">
        <v>29</v>
      </c>
      <c r="F50" s="1" t="s">
        <v>30</v>
      </c>
      <c r="G50" s="1" t="s">
        <v>79</v>
      </c>
      <c r="H50" s="1" t="s">
        <v>32</v>
      </c>
      <c r="I50" s="1">
        <v>30000</v>
      </c>
      <c r="J50" s="3" t="s">
        <v>201</v>
      </c>
      <c r="K50" s="3" t="s">
        <v>210</v>
      </c>
      <c r="L50" s="1">
        <v>30000</v>
      </c>
      <c r="M50" s="1" t="s">
        <v>211</v>
      </c>
      <c r="N50" s="1" t="s">
        <v>212</v>
      </c>
      <c r="O50" s="1" t="s">
        <v>14</v>
      </c>
      <c r="P50" s="1" t="s">
        <v>27</v>
      </c>
    </row>
    <row r="51" spans="1:16" ht="13.2" x14ac:dyDescent="0.25">
      <c r="A51" s="1" t="s">
        <v>16</v>
      </c>
      <c r="B51" s="2" t="str">
        <f>HYPERLINK("https://www.google.com/url?q=https%3A%2F%2Fcontrataciondelestado.es%2Fwps%2Fpoc%3Furi%3Ddeeplink%3Adetalle_licitacion%26idEvl%3D%252FYrm82DJB94tm4eBPtV6eQ%253D%253D", "CON_PR/NEG_SINP/2025000008")</f>
        <v>CON_PR/NEG_SINP/2025000008</v>
      </c>
      <c r="C51" s="1" t="s">
        <v>17</v>
      </c>
      <c r="D51" s="1" t="s">
        <v>213</v>
      </c>
      <c r="E51" s="1" t="s">
        <v>29</v>
      </c>
      <c r="F51" s="1" t="s">
        <v>30</v>
      </c>
      <c r="G51" s="1" t="s">
        <v>214</v>
      </c>
      <c r="H51" s="1" t="s">
        <v>32</v>
      </c>
      <c r="I51" s="1">
        <v>32300</v>
      </c>
      <c r="J51" s="3" t="s">
        <v>215</v>
      </c>
      <c r="K51" s="3" t="s">
        <v>216</v>
      </c>
      <c r="L51" s="1">
        <v>32300</v>
      </c>
      <c r="M51" s="1" t="s">
        <v>217</v>
      </c>
      <c r="N51" s="1" t="s">
        <v>218</v>
      </c>
      <c r="O51" s="1" t="s">
        <v>14</v>
      </c>
      <c r="P51" s="1" t="s">
        <v>27</v>
      </c>
    </row>
    <row r="52" spans="1:16" ht="13.2" x14ac:dyDescent="0.25">
      <c r="A52" s="1" t="s">
        <v>16</v>
      </c>
      <c r="B52" s="2" t="str">
        <f>HYPERLINK("https://www.google.com/url?q=https%3A%2F%2Fcontrataciondelestado.es%2Fwps%2Fpoc%3Furi%3Ddeeplink%3Adetalle_licitacion%26idEvl%3DRSzlOs63GKzs%252BnLj3vAg5A%253D%253D", "CON_PR/NEG_SINP/2024000142")</f>
        <v>CON_PR/NEG_SINP/2024000142</v>
      </c>
      <c r="C52" s="1" t="s">
        <v>17</v>
      </c>
      <c r="D52" s="1" t="s">
        <v>219</v>
      </c>
      <c r="E52" s="1" t="s">
        <v>29</v>
      </c>
      <c r="F52" s="1" t="s">
        <v>30</v>
      </c>
      <c r="G52" s="1" t="s">
        <v>220</v>
      </c>
      <c r="H52" s="1" t="s">
        <v>32</v>
      </c>
      <c r="I52" s="1">
        <v>50000</v>
      </c>
      <c r="J52" s="3" t="s">
        <v>221</v>
      </c>
      <c r="K52" s="3" t="s">
        <v>222</v>
      </c>
      <c r="L52" s="1">
        <v>50000</v>
      </c>
      <c r="M52" s="1" t="s">
        <v>223</v>
      </c>
      <c r="N52" s="1" t="s">
        <v>224</v>
      </c>
      <c r="O52" s="1" t="s">
        <v>14</v>
      </c>
      <c r="P52" s="1" t="s">
        <v>27</v>
      </c>
    </row>
    <row r="53" spans="1:16" ht="13.2" x14ac:dyDescent="0.25">
      <c r="A53" s="1" t="s">
        <v>16</v>
      </c>
      <c r="B53" s="2" t="str">
        <f>HYPERLINK("https://www.google.com/url?q=https%3A%2F%2Fcontrataciondelestado.es%2Fwps%2Fpoc%3Furi%3Ddeeplink%3Adetalle_licitacion%26idEvl%3De7i%252FNthU9AI%252B1TMyIiZmzw%253D%253D", "SERV/ABR/2024000095")</f>
        <v>SERV/ABR/2024000095</v>
      </c>
      <c r="C53" s="1" t="s">
        <v>17</v>
      </c>
      <c r="D53" s="1" t="s">
        <v>225</v>
      </c>
      <c r="E53" s="1" t="s">
        <v>19</v>
      </c>
      <c r="F53" s="1" t="s">
        <v>20</v>
      </c>
      <c r="G53" s="1" t="s">
        <v>85</v>
      </c>
      <c r="H53" s="1" t="s">
        <v>32</v>
      </c>
      <c r="I53" s="1">
        <v>1087699.98</v>
      </c>
      <c r="J53" s="3" t="s">
        <v>221</v>
      </c>
      <c r="K53" s="3" t="s">
        <v>226</v>
      </c>
      <c r="L53" s="1">
        <v>1087699.98</v>
      </c>
      <c r="M53" s="1" t="s">
        <v>227</v>
      </c>
      <c r="N53" s="1" t="s">
        <v>228</v>
      </c>
      <c r="O53" s="1" t="s">
        <v>14</v>
      </c>
      <c r="P53" s="1" t="s">
        <v>27</v>
      </c>
    </row>
    <row r="54" spans="1:16" ht="13.2" x14ac:dyDescent="0.25">
      <c r="A54" s="1" t="s">
        <v>16</v>
      </c>
      <c r="B54" s="2" t="str">
        <f>HYPERLINK("https://www.google.com/url?q=https%3A%2F%2Fcontrataciondelestado.es%2Fwps%2Fpoc%3Furi%3Ddeeplink%3Adetalle_licitacion%26idEvl%3DUdokVQnSJ07XOjazN1Dw9Q%253D%253D", "CON_PR/NEG_SINP/2024000147")</f>
        <v>CON_PR/NEG_SINP/2024000147</v>
      </c>
      <c r="C54" s="1" t="s">
        <v>17</v>
      </c>
      <c r="D54" s="1" t="s">
        <v>229</v>
      </c>
      <c r="E54" s="1" t="s">
        <v>29</v>
      </c>
      <c r="F54" s="1" t="s">
        <v>30</v>
      </c>
      <c r="G54" s="1" t="s">
        <v>99</v>
      </c>
      <c r="H54" s="1" t="s">
        <v>32</v>
      </c>
      <c r="I54" s="1">
        <v>20000</v>
      </c>
      <c r="J54" s="3" t="s">
        <v>221</v>
      </c>
      <c r="K54" s="3" t="s">
        <v>230</v>
      </c>
      <c r="L54" s="1">
        <v>20000</v>
      </c>
      <c r="M54" s="1" t="s">
        <v>231</v>
      </c>
      <c r="N54" s="1" t="s">
        <v>232</v>
      </c>
      <c r="O54" s="1" t="s">
        <v>14</v>
      </c>
      <c r="P54" s="1" t="s">
        <v>27</v>
      </c>
    </row>
    <row r="55" spans="1:16" ht="13.2" x14ac:dyDescent="0.25">
      <c r="A55" s="1" t="s">
        <v>16</v>
      </c>
      <c r="B55" s="2" t="str">
        <f>HYPERLINK("https://www.google.com/url?q=https%3A%2F%2Fcontrataciondelestado.es%2Fwps%2Fpoc%3Furi%3Ddeeplink%3Adetalle_licitacion%26idEvl%3Db55mYgkrfm3pxJFXpLZ%252B2A%253D%253D", "SERV/ABR/2024000117")</f>
        <v>SERV/ABR/2024000117</v>
      </c>
      <c r="C55" s="1" t="s">
        <v>17</v>
      </c>
      <c r="D55" s="1" t="s">
        <v>233</v>
      </c>
      <c r="E55" s="1" t="s">
        <v>19</v>
      </c>
      <c r="F55" s="1" t="s">
        <v>20</v>
      </c>
      <c r="G55" s="1" t="s">
        <v>85</v>
      </c>
      <c r="H55" s="1" t="s">
        <v>32</v>
      </c>
      <c r="I55" s="1">
        <v>560000</v>
      </c>
      <c r="J55" s="3" t="s">
        <v>221</v>
      </c>
      <c r="K55" s="3" t="s">
        <v>161</v>
      </c>
      <c r="L55" s="1">
        <v>560000.06999999995</v>
      </c>
      <c r="M55" s="1" t="s">
        <v>234</v>
      </c>
      <c r="N55" s="1" t="s">
        <v>235</v>
      </c>
      <c r="O55" s="1" t="s">
        <v>108</v>
      </c>
      <c r="P55" s="1" t="s">
        <v>27</v>
      </c>
    </row>
    <row r="56" spans="1:16" ht="13.2" x14ac:dyDescent="0.25">
      <c r="A56" s="1" t="s">
        <v>16</v>
      </c>
      <c r="B56" s="2" t="str">
        <f>HYPERLINK("https://www.google.com/url?q=https%3A%2F%2Fcontrataciondelestado.es%2Fwps%2Fpoc%3Furi%3Ddeeplink%3Adetalle_licitacion%26idEvl%3DA%252Fb30nzHH8ZLAIVZdUs8KA%253D%253D", "SUMIN/ABR/2024000111")</f>
        <v>SUMIN/ABR/2024000111</v>
      </c>
      <c r="C56" s="3" t="s">
        <v>236</v>
      </c>
      <c r="D56" s="1" t="s">
        <v>237</v>
      </c>
      <c r="E56" s="1" t="s">
        <v>19</v>
      </c>
      <c r="F56" s="1" t="s">
        <v>73</v>
      </c>
      <c r="G56" s="1" t="s">
        <v>21</v>
      </c>
      <c r="H56" s="1" t="s">
        <v>22</v>
      </c>
      <c r="I56" s="1">
        <v>2461026.0699999998</v>
      </c>
      <c r="J56" s="3" t="s">
        <v>238</v>
      </c>
      <c r="K56" s="1" t="s">
        <v>24</v>
      </c>
      <c r="L56" s="1">
        <v>195845.76000000001</v>
      </c>
      <c r="M56" s="1" t="s">
        <v>239</v>
      </c>
      <c r="N56" s="1" t="s">
        <v>240</v>
      </c>
      <c r="O56" s="1" t="s">
        <v>14</v>
      </c>
      <c r="P56" s="1" t="s">
        <v>241</v>
      </c>
    </row>
    <row r="57" spans="1:16" ht="13.2" x14ac:dyDescent="0.25">
      <c r="A57" s="1" t="s">
        <v>16</v>
      </c>
      <c r="B57" s="2" t="str">
        <f>HYPERLINK("https://www.google.com/url?q=https%3A%2F%2Fcontrataciondelestado.es%2Fwps%2Fpoc%3Furi%3Ddeeplink%3Adetalle_licitacion%26idEvl%3DVaLzscQS6P8ZDGvgaZEVxQ%253D%253D", "CON_PR/NEG_SINP/2024000144")</f>
        <v>CON_PR/NEG_SINP/2024000144</v>
      </c>
      <c r="C57" s="1" t="s">
        <v>17</v>
      </c>
      <c r="D57" s="1" t="s">
        <v>242</v>
      </c>
      <c r="E57" s="1" t="s">
        <v>29</v>
      </c>
      <c r="F57" s="1" t="s">
        <v>30</v>
      </c>
      <c r="G57" s="1" t="s">
        <v>243</v>
      </c>
      <c r="H57" s="1" t="s">
        <v>32</v>
      </c>
      <c r="I57" s="1">
        <v>42000</v>
      </c>
      <c r="J57" s="3" t="s">
        <v>238</v>
      </c>
      <c r="K57" s="3" t="s">
        <v>210</v>
      </c>
      <c r="L57" s="1">
        <v>42000</v>
      </c>
      <c r="M57" s="1" t="s">
        <v>244</v>
      </c>
      <c r="N57" s="1" t="s">
        <v>245</v>
      </c>
      <c r="O57" s="1" t="s">
        <v>14</v>
      </c>
      <c r="P57" s="1" t="s">
        <v>27</v>
      </c>
    </row>
    <row r="58" spans="1:16" ht="13.2" x14ac:dyDescent="0.25">
      <c r="A58" s="1" t="s">
        <v>16</v>
      </c>
      <c r="B58" s="2" t="str">
        <f t="shared" ref="B58:B63" si="3">HYPERLINK("https://www.google.com/url?q=https%3A%2F%2Fcontrataciondelestado.es%2Fwps%2Fpoc%3Furi%3Ddeeplink%3Adetalle_licitacion%26idEvl%3DA%252Fb30nzHH8ZLAIVZdUs8KA%253D%253D", "SUMIN/ABR/2024000111")</f>
        <v>SUMIN/ABR/2024000111</v>
      </c>
      <c r="C58" s="3" t="s">
        <v>151</v>
      </c>
      <c r="D58" s="1" t="s">
        <v>237</v>
      </c>
      <c r="E58" s="1" t="s">
        <v>19</v>
      </c>
      <c r="F58" s="1" t="s">
        <v>73</v>
      </c>
      <c r="G58" s="1" t="s">
        <v>21</v>
      </c>
      <c r="H58" s="1" t="s">
        <v>22</v>
      </c>
      <c r="I58" s="1">
        <v>2461026.0699999998</v>
      </c>
      <c r="J58" s="3" t="s">
        <v>238</v>
      </c>
      <c r="K58" s="1" t="s">
        <v>24</v>
      </c>
      <c r="L58" s="1">
        <v>1091671.68</v>
      </c>
      <c r="M58" s="1" t="s">
        <v>246</v>
      </c>
      <c r="N58" s="1" t="s">
        <v>247</v>
      </c>
      <c r="O58" s="1" t="s">
        <v>14</v>
      </c>
      <c r="P58" s="1" t="s">
        <v>248</v>
      </c>
    </row>
    <row r="59" spans="1:16" ht="13.2" x14ac:dyDescent="0.25">
      <c r="A59" s="1" t="s">
        <v>16</v>
      </c>
      <c r="B59" s="2" t="str">
        <f t="shared" si="3"/>
        <v>SUMIN/ABR/2024000111</v>
      </c>
      <c r="C59" s="3" t="s">
        <v>249</v>
      </c>
      <c r="D59" s="1" t="s">
        <v>237</v>
      </c>
      <c r="E59" s="1" t="s">
        <v>19</v>
      </c>
      <c r="F59" s="1" t="s">
        <v>73</v>
      </c>
      <c r="G59" s="1" t="s">
        <v>21</v>
      </c>
      <c r="H59" s="1" t="s">
        <v>22</v>
      </c>
      <c r="I59" s="1">
        <v>2461026.0699999998</v>
      </c>
      <c r="J59" s="3" t="s">
        <v>238</v>
      </c>
      <c r="K59" s="1" t="s">
        <v>24</v>
      </c>
      <c r="L59" s="1">
        <v>162217.44</v>
      </c>
      <c r="M59" s="1" t="s">
        <v>246</v>
      </c>
      <c r="N59" s="1" t="s">
        <v>247</v>
      </c>
      <c r="O59" s="1" t="s">
        <v>14</v>
      </c>
      <c r="P59" s="1" t="s">
        <v>250</v>
      </c>
    </row>
    <row r="60" spans="1:16" ht="13.2" x14ac:dyDescent="0.25">
      <c r="A60" s="1" t="s">
        <v>16</v>
      </c>
      <c r="B60" s="2" t="str">
        <f t="shared" si="3"/>
        <v>SUMIN/ABR/2024000111</v>
      </c>
      <c r="C60" s="3" t="s">
        <v>155</v>
      </c>
      <c r="D60" s="1" t="s">
        <v>237</v>
      </c>
      <c r="E60" s="1" t="s">
        <v>19</v>
      </c>
      <c r="F60" s="1" t="s">
        <v>73</v>
      </c>
      <c r="G60" s="1" t="s">
        <v>21</v>
      </c>
      <c r="H60" s="1" t="s">
        <v>32</v>
      </c>
      <c r="I60" s="1">
        <v>2461026.0699999998</v>
      </c>
      <c r="J60" s="3" t="s">
        <v>238</v>
      </c>
      <c r="K60" s="3" t="s">
        <v>251</v>
      </c>
      <c r="L60" s="1">
        <v>111048.96000000001</v>
      </c>
      <c r="M60" s="1" t="s">
        <v>246</v>
      </c>
      <c r="N60" s="1" t="s">
        <v>247</v>
      </c>
      <c r="O60" s="1" t="s">
        <v>14</v>
      </c>
      <c r="P60" s="1" t="s">
        <v>252</v>
      </c>
    </row>
    <row r="61" spans="1:16" ht="13.2" x14ac:dyDescent="0.25">
      <c r="A61" s="1" t="s">
        <v>16</v>
      </c>
      <c r="B61" s="2" t="str">
        <f t="shared" si="3"/>
        <v>SUMIN/ABR/2024000111</v>
      </c>
      <c r="C61" s="3" t="s">
        <v>153</v>
      </c>
      <c r="D61" s="1" t="s">
        <v>237</v>
      </c>
      <c r="E61" s="1" t="s">
        <v>19</v>
      </c>
      <c r="F61" s="1" t="s">
        <v>73</v>
      </c>
      <c r="G61" s="1" t="s">
        <v>21</v>
      </c>
      <c r="H61" s="1" t="s">
        <v>22</v>
      </c>
      <c r="I61" s="1">
        <v>2461026.0699999998</v>
      </c>
      <c r="J61" s="3" t="s">
        <v>238</v>
      </c>
      <c r="K61" s="1" t="s">
        <v>24</v>
      </c>
      <c r="L61" s="1">
        <v>323912.15999999997</v>
      </c>
      <c r="M61" s="1" t="s">
        <v>246</v>
      </c>
      <c r="N61" s="1" t="s">
        <v>247</v>
      </c>
      <c r="O61" s="1" t="s">
        <v>14</v>
      </c>
      <c r="P61" s="1" t="s">
        <v>253</v>
      </c>
    </row>
    <row r="62" spans="1:16" ht="13.2" x14ac:dyDescent="0.25">
      <c r="A62" s="1" t="s">
        <v>16</v>
      </c>
      <c r="B62" s="2" t="str">
        <f t="shared" si="3"/>
        <v>SUMIN/ABR/2024000111</v>
      </c>
      <c r="C62" s="3" t="s">
        <v>144</v>
      </c>
      <c r="D62" s="1" t="s">
        <v>237</v>
      </c>
      <c r="E62" s="1" t="s">
        <v>19</v>
      </c>
      <c r="F62" s="1" t="s">
        <v>73</v>
      </c>
      <c r="G62" s="1" t="s">
        <v>21</v>
      </c>
      <c r="H62" s="1" t="s">
        <v>22</v>
      </c>
      <c r="I62" s="1">
        <v>2461026.0699999998</v>
      </c>
      <c r="J62" s="3" t="s">
        <v>238</v>
      </c>
      <c r="K62" s="1" t="s">
        <v>24</v>
      </c>
      <c r="L62" s="1">
        <v>185391.35999999999</v>
      </c>
      <c r="M62" s="1" t="s">
        <v>246</v>
      </c>
      <c r="N62" s="1" t="s">
        <v>247</v>
      </c>
      <c r="O62" s="1" t="s">
        <v>14</v>
      </c>
      <c r="P62" s="1" t="s">
        <v>254</v>
      </c>
    </row>
    <row r="63" spans="1:16" ht="13.2" x14ac:dyDescent="0.25">
      <c r="A63" s="1" t="s">
        <v>16</v>
      </c>
      <c r="B63" s="2" t="str">
        <f t="shared" si="3"/>
        <v>SUMIN/ABR/2024000111</v>
      </c>
      <c r="C63" s="3" t="s">
        <v>157</v>
      </c>
      <c r="D63" s="1" t="s">
        <v>237</v>
      </c>
      <c r="E63" s="1" t="s">
        <v>19</v>
      </c>
      <c r="F63" s="1" t="s">
        <v>73</v>
      </c>
      <c r="G63" s="1" t="s">
        <v>21</v>
      </c>
      <c r="H63" s="1" t="s">
        <v>22</v>
      </c>
      <c r="I63" s="1">
        <v>2461026.0699999998</v>
      </c>
      <c r="J63" s="3" t="s">
        <v>238</v>
      </c>
      <c r="K63" s="1" t="s">
        <v>24</v>
      </c>
      <c r="L63" s="1">
        <v>195845.76000000001</v>
      </c>
      <c r="M63" s="1" t="s">
        <v>246</v>
      </c>
      <c r="N63" s="1" t="s">
        <v>247</v>
      </c>
      <c r="O63" s="1" t="s">
        <v>14</v>
      </c>
      <c r="P63" s="1" t="s">
        <v>255</v>
      </c>
    </row>
    <row r="64" spans="1:16" ht="13.2" x14ac:dyDescent="0.25">
      <c r="A64" s="1" t="s">
        <v>16</v>
      </c>
      <c r="B64" s="2" t="str">
        <f>HYPERLINK("https://www.google.com/url?q=https%3A%2F%2Fcontrataciondelestado.es%2Fwps%2Fpoc%3Furi%3Ddeeplink%3Adetalle_licitacion%26idEvl%3DbflqXpH2RKRQFSeKCRun4Q%253D%253D", "SUMIN/ABR/2024000107")</f>
        <v>SUMIN/ABR/2024000107</v>
      </c>
      <c r="C64" s="1" t="s">
        <v>17</v>
      </c>
      <c r="D64" s="1" t="s">
        <v>256</v>
      </c>
      <c r="E64" s="1" t="s">
        <v>19</v>
      </c>
      <c r="F64" s="1" t="s">
        <v>73</v>
      </c>
      <c r="G64" s="1" t="s">
        <v>257</v>
      </c>
      <c r="H64" s="1" t="s">
        <v>32</v>
      </c>
      <c r="I64" s="1">
        <v>22138.33</v>
      </c>
      <c r="J64" s="3" t="s">
        <v>258</v>
      </c>
      <c r="K64" s="3" t="s">
        <v>210</v>
      </c>
      <c r="L64" s="1">
        <v>13279.41</v>
      </c>
      <c r="M64" s="1" t="s">
        <v>259</v>
      </c>
      <c r="N64" s="1" t="s">
        <v>260</v>
      </c>
      <c r="O64" s="1" t="s">
        <v>14</v>
      </c>
      <c r="P64" s="1" t="s">
        <v>27</v>
      </c>
    </row>
    <row r="65" spans="1:16" ht="13.2" x14ac:dyDescent="0.25">
      <c r="A65" s="1" t="s">
        <v>16</v>
      </c>
      <c r="B65" s="2" t="str">
        <f t="shared" ref="B65:B67" si="4">HYPERLINK("https://www.google.com/url?q=https%3A%2F%2Fcontrataciondelestado.es%2Fwps%2Fpoc%3Furi%3Ddeeplink%3Adetalle_licitacion%26idEvl%3Dy1QVBVGQP4nIGlsa0Wad%252Bw%253D%253D", "SUMIN/ABR/2024000132")</f>
        <v>SUMIN/ABR/2024000132</v>
      </c>
      <c r="C65" s="3" t="s">
        <v>157</v>
      </c>
      <c r="D65" s="1" t="s">
        <v>261</v>
      </c>
      <c r="E65" s="1" t="s">
        <v>19</v>
      </c>
      <c r="F65" s="1" t="s">
        <v>73</v>
      </c>
      <c r="G65" s="1" t="s">
        <v>262</v>
      </c>
      <c r="H65" s="1" t="s">
        <v>32</v>
      </c>
      <c r="I65" s="1">
        <v>169000</v>
      </c>
      <c r="J65" s="3" t="s">
        <v>263</v>
      </c>
      <c r="K65" s="3" t="s">
        <v>191</v>
      </c>
      <c r="L65" s="1">
        <v>62448.1</v>
      </c>
      <c r="M65" s="1" t="s">
        <v>264</v>
      </c>
      <c r="N65" s="1" t="s">
        <v>265</v>
      </c>
      <c r="O65" s="1" t="s">
        <v>14</v>
      </c>
      <c r="P65" s="1" t="s">
        <v>266</v>
      </c>
    </row>
    <row r="66" spans="1:16" ht="13.2" x14ac:dyDescent="0.25">
      <c r="A66" s="1" t="s">
        <v>16</v>
      </c>
      <c r="B66" s="2" t="str">
        <f t="shared" si="4"/>
        <v>SUMIN/ABR/2024000132</v>
      </c>
      <c r="C66" s="3" t="s">
        <v>151</v>
      </c>
      <c r="D66" s="1" t="s">
        <v>261</v>
      </c>
      <c r="E66" s="1" t="s">
        <v>19</v>
      </c>
      <c r="F66" s="1" t="s">
        <v>73</v>
      </c>
      <c r="G66" s="1" t="s">
        <v>262</v>
      </c>
      <c r="H66" s="1" t="s">
        <v>32</v>
      </c>
      <c r="I66" s="1">
        <v>169000</v>
      </c>
      <c r="J66" s="3" t="s">
        <v>263</v>
      </c>
      <c r="K66" s="3" t="s">
        <v>191</v>
      </c>
      <c r="L66" s="1">
        <v>49597.9</v>
      </c>
      <c r="M66" s="1" t="s">
        <v>264</v>
      </c>
      <c r="N66" s="1" t="s">
        <v>265</v>
      </c>
      <c r="O66" s="1" t="s">
        <v>14</v>
      </c>
      <c r="P66" s="1" t="s">
        <v>267</v>
      </c>
    </row>
    <row r="67" spans="1:16" ht="13.2" x14ac:dyDescent="0.25">
      <c r="A67" s="1" t="s">
        <v>16</v>
      </c>
      <c r="B67" s="2" t="str">
        <f t="shared" si="4"/>
        <v>SUMIN/ABR/2024000132</v>
      </c>
      <c r="C67" s="3" t="s">
        <v>155</v>
      </c>
      <c r="D67" s="1" t="s">
        <v>261</v>
      </c>
      <c r="E67" s="1" t="s">
        <v>19</v>
      </c>
      <c r="F67" s="1" t="s">
        <v>73</v>
      </c>
      <c r="G67" s="1" t="s">
        <v>262</v>
      </c>
      <c r="H67" s="1" t="s">
        <v>32</v>
      </c>
      <c r="I67" s="1">
        <v>169000</v>
      </c>
      <c r="J67" s="3" t="s">
        <v>263</v>
      </c>
      <c r="K67" s="3" t="s">
        <v>191</v>
      </c>
      <c r="L67" s="1">
        <v>56948.800000000003</v>
      </c>
      <c r="M67" s="1" t="s">
        <v>264</v>
      </c>
      <c r="N67" s="1" t="s">
        <v>265</v>
      </c>
      <c r="O67" s="1" t="s">
        <v>14</v>
      </c>
      <c r="P67" s="1" t="s">
        <v>268</v>
      </c>
    </row>
    <row r="68" spans="1:16" ht="13.2" x14ac:dyDescent="0.25">
      <c r="A68" s="1" t="s">
        <v>16</v>
      </c>
      <c r="B68" s="2" t="str">
        <f>HYPERLINK("https://www.google.com/url?q=https%3A%2F%2Fcontrataciondelestado.es%2Fwps%2Fpoc%3Furi%3Ddeeplink%3Adetalle_licitacion%26idEvl%3DFys86fR8FV3mnwcj%252BxbdTg%253D%253D", "SUMIN/ABR/2024000128")</f>
        <v>SUMIN/ABR/2024000128</v>
      </c>
      <c r="C68" s="1" t="s">
        <v>17</v>
      </c>
      <c r="D68" s="1" t="s">
        <v>269</v>
      </c>
      <c r="E68" s="1" t="s">
        <v>19</v>
      </c>
      <c r="F68" s="1" t="s">
        <v>73</v>
      </c>
      <c r="G68" s="1" t="s">
        <v>270</v>
      </c>
      <c r="H68" s="1" t="s">
        <v>32</v>
      </c>
      <c r="I68" s="1">
        <v>35000</v>
      </c>
      <c r="J68" s="3" t="s">
        <v>263</v>
      </c>
      <c r="K68" s="3" t="s">
        <v>251</v>
      </c>
      <c r="L68" s="1">
        <v>40284.5</v>
      </c>
      <c r="M68" s="1" t="s">
        <v>271</v>
      </c>
      <c r="N68" s="1" t="s">
        <v>272</v>
      </c>
      <c r="O68" s="1" t="s">
        <v>108</v>
      </c>
      <c r="P68" s="1" t="s">
        <v>27</v>
      </c>
    </row>
    <row r="69" spans="1:16" ht="13.2" x14ac:dyDescent="0.25">
      <c r="A69" s="1" t="s">
        <v>16</v>
      </c>
      <c r="B69" s="2" t="str">
        <f>HYPERLINK("https://www.google.com/url?q=https%3A%2F%2Fcontrataciondelestado.es%2Fwps%2Fpoc%3Furi%3Ddeeplink%3Adetalle_licitacion%26idEvl%3DMXcBhbUOTN5rSd8H4b2soA%253D%253D", "SUMIN/ABR/2024000119")</f>
        <v>SUMIN/ABR/2024000119</v>
      </c>
      <c r="C69" s="1" t="s">
        <v>17</v>
      </c>
      <c r="D69" s="1" t="s">
        <v>273</v>
      </c>
      <c r="E69" s="1" t="s">
        <v>19</v>
      </c>
      <c r="F69" s="1" t="s">
        <v>73</v>
      </c>
      <c r="G69" s="1" t="s">
        <v>85</v>
      </c>
      <c r="H69" s="1" t="s">
        <v>32</v>
      </c>
      <c r="I69" s="1">
        <v>60000</v>
      </c>
      <c r="J69" s="3" t="s">
        <v>263</v>
      </c>
      <c r="K69" s="3" t="s">
        <v>191</v>
      </c>
      <c r="L69" s="1">
        <v>60000</v>
      </c>
      <c r="M69" s="1" t="s">
        <v>274</v>
      </c>
      <c r="N69" s="1" t="s">
        <v>275</v>
      </c>
      <c r="O69" s="1" t="s">
        <v>108</v>
      </c>
      <c r="P69" s="1" t="s">
        <v>27</v>
      </c>
    </row>
    <row r="70" spans="1:16" ht="13.2" x14ac:dyDescent="0.25">
      <c r="A70" s="1" t="s">
        <v>16</v>
      </c>
      <c r="B70" s="2" t="str">
        <f t="shared" ref="B70:B80" si="5">HYPERLINK("https://www.google.com/url?q=https%3A%2F%2Fcontrataciondelestado.es%2Fwps%2Fpoc%3Furi%3Ddeeplink%3Adetalle_licitacion%26idEvl%3DfeX%252Bfe2fGX5PpzdqOdhuWg%253D%253D", "SUMIN/ABR/2024000113")</f>
        <v>SUMIN/ABR/2024000113</v>
      </c>
      <c r="C70" s="3" t="s">
        <v>236</v>
      </c>
      <c r="D70" s="1" t="s">
        <v>276</v>
      </c>
      <c r="E70" s="1" t="s">
        <v>19</v>
      </c>
      <c r="F70" s="1" t="s">
        <v>73</v>
      </c>
      <c r="G70" s="1" t="s">
        <v>277</v>
      </c>
      <c r="H70" s="1" t="s">
        <v>32</v>
      </c>
      <c r="I70" s="1">
        <v>621698</v>
      </c>
      <c r="J70" s="3" t="s">
        <v>263</v>
      </c>
      <c r="K70" s="3" t="s">
        <v>278</v>
      </c>
      <c r="L70" s="1">
        <v>14217.5</v>
      </c>
      <c r="M70" s="1" t="s">
        <v>279</v>
      </c>
      <c r="N70" s="1" t="s">
        <v>280</v>
      </c>
      <c r="O70" s="1" t="s">
        <v>14</v>
      </c>
      <c r="P70" s="1" t="s">
        <v>281</v>
      </c>
    </row>
    <row r="71" spans="1:16" ht="13.2" x14ac:dyDescent="0.25">
      <c r="A71" s="1" t="s">
        <v>16</v>
      </c>
      <c r="B71" s="2" t="str">
        <f t="shared" si="5"/>
        <v>SUMIN/ABR/2024000113</v>
      </c>
      <c r="C71" s="3" t="s">
        <v>144</v>
      </c>
      <c r="D71" s="1" t="s">
        <v>276</v>
      </c>
      <c r="E71" s="1" t="s">
        <v>19</v>
      </c>
      <c r="F71" s="1" t="s">
        <v>73</v>
      </c>
      <c r="G71" s="1" t="s">
        <v>277</v>
      </c>
      <c r="H71" s="1" t="s">
        <v>32</v>
      </c>
      <c r="I71" s="1">
        <v>621698</v>
      </c>
      <c r="J71" s="3" t="s">
        <v>263</v>
      </c>
      <c r="K71" s="3" t="s">
        <v>278</v>
      </c>
      <c r="L71" s="1">
        <v>117975</v>
      </c>
      <c r="M71" s="1" t="s">
        <v>279</v>
      </c>
      <c r="N71" s="1" t="s">
        <v>280</v>
      </c>
      <c r="O71" s="1" t="s">
        <v>14</v>
      </c>
      <c r="P71" s="1" t="s">
        <v>282</v>
      </c>
    </row>
    <row r="72" spans="1:16" ht="13.2" x14ac:dyDescent="0.25">
      <c r="A72" s="1" t="s">
        <v>16</v>
      </c>
      <c r="B72" s="2" t="str">
        <f t="shared" si="5"/>
        <v>SUMIN/ABR/2024000113</v>
      </c>
      <c r="C72" s="3" t="s">
        <v>157</v>
      </c>
      <c r="D72" s="1" t="s">
        <v>276</v>
      </c>
      <c r="E72" s="1" t="s">
        <v>19</v>
      </c>
      <c r="F72" s="1" t="s">
        <v>73</v>
      </c>
      <c r="G72" s="1" t="s">
        <v>277</v>
      </c>
      <c r="H72" s="1" t="s">
        <v>32</v>
      </c>
      <c r="I72" s="1">
        <v>621698</v>
      </c>
      <c r="J72" s="3" t="s">
        <v>263</v>
      </c>
      <c r="K72" s="3" t="s">
        <v>278</v>
      </c>
      <c r="L72" s="1">
        <v>117975</v>
      </c>
      <c r="M72" s="1" t="s">
        <v>279</v>
      </c>
      <c r="N72" s="1" t="s">
        <v>280</v>
      </c>
      <c r="O72" s="1" t="s">
        <v>14</v>
      </c>
      <c r="P72" s="1" t="s">
        <v>283</v>
      </c>
    </row>
    <row r="73" spans="1:16" ht="13.2" x14ac:dyDescent="0.25">
      <c r="A73" s="1" t="s">
        <v>16</v>
      </c>
      <c r="B73" s="2" t="str">
        <f t="shared" si="5"/>
        <v>SUMIN/ABR/2024000113</v>
      </c>
      <c r="C73" s="3" t="s">
        <v>151</v>
      </c>
      <c r="D73" s="1" t="s">
        <v>276</v>
      </c>
      <c r="E73" s="1" t="s">
        <v>19</v>
      </c>
      <c r="F73" s="1" t="s">
        <v>73</v>
      </c>
      <c r="G73" s="1" t="s">
        <v>277</v>
      </c>
      <c r="H73" s="1" t="s">
        <v>32</v>
      </c>
      <c r="I73" s="1">
        <v>621698</v>
      </c>
      <c r="J73" s="3" t="s">
        <v>263</v>
      </c>
      <c r="K73" s="3" t="s">
        <v>278</v>
      </c>
      <c r="L73" s="1">
        <v>117975</v>
      </c>
      <c r="M73" s="1" t="s">
        <v>279</v>
      </c>
      <c r="N73" s="1" t="s">
        <v>280</v>
      </c>
      <c r="O73" s="1" t="s">
        <v>14</v>
      </c>
      <c r="P73" s="1" t="s">
        <v>284</v>
      </c>
    </row>
    <row r="74" spans="1:16" ht="13.2" x14ac:dyDescent="0.25">
      <c r="A74" s="1" t="s">
        <v>16</v>
      </c>
      <c r="B74" s="2" t="str">
        <f t="shared" si="5"/>
        <v>SUMIN/ABR/2024000113</v>
      </c>
      <c r="C74" s="3" t="s">
        <v>153</v>
      </c>
      <c r="D74" s="1" t="s">
        <v>276</v>
      </c>
      <c r="E74" s="1" t="s">
        <v>19</v>
      </c>
      <c r="F74" s="1" t="s">
        <v>73</v>
      </c>
      <c r="G74" s="1" t="s">
        <v>277</v>
      </c>
      <c r="H74" s="1" t="s">
        <v>32</v>
      </c>
      <c r="I74" s="1">
        <v>621698</v>
      </c>
      <c r="J74" s="3" t="s">
        <v>263</v>
      </c>
      <c r="K74" s="3" t="s">
        <v>278</v>
      </c>
      <c r="L74" s="1">
        <v>42652.5</v>
      </c>
      <c r="M74" s="1" t="s">
        <v>279</v>
      </c>
      <c r="N74" s="1" t="s">
        <v>280</v>
      </c>
      <c r="O74" s="1" t="s">
        <v>14</v>
      </c>
      <c r="P74" s="1" t="s">
        <v>285</v>
      </c>
    </row>
    <row r="75" spans="1:16" ht="13.2" x14ac:dyDescent="0.25">
      <c r="A75" s="1" t="s">
        <v>16</v>
      </c>
      <c r="B75" s="2" t="str">
        <f t="shared" si="5"/>
        <v>SUMIN/ABR/2024000113</v>
      </c>
      <c r="C75" s="3" t="s">
        <v>286</v>
      </c>
      <c r="D75" s="1" t="s">
        <v>276</v>
      </c>
      <c r="E75" s="1" t="s">
        <v>19</v>
      </c>
      <c r="F75" s="1" t="s">
        <v>73</v>
      </c>
      <c r="G75" s="1" t="s">
        <v>277</v>
      </c>
      <c r="H75" s="1" t="s">
        <v>32</v>
      </c>
      <c r="I75" s="1">
        <v>621698</v>
      </c>
      <c r="J75" s="3" t="s">
        <v>263</v>
      </c>
      <c r="K75" s="3" t="s">
        <v>278</v>
      </c>
      <c r="L75" s="1">
        <v>13794</v>
      </c>
      <c r="M75" s="1" t="s">
        <v>279</v>
      </c>
      <c r="N75" s="1" t="s">
        <v>280</v>
      </c>
      <c r="O75" s="1" t="s">
        <v>14</v>
      </c>
      <c r="P75" s="1" t="s">
        <v>287</v>
      </c>
    </row>
    <row r="76" spans="1:16" ht="13.2" x14ac:dyDescent="0.25">
      <c r="A76" s="1" t="s">
        <v>16</v>
      </c>
      <c r="B76" s="2" t="str">
        <f t="shared" si="5"/>
        <v>SUMIN/ABR/2024000113</v>
      </c>
      <c r="C76" s="3" t="s">
        <v>288</v>
      </c>
      <c r="D76" s="1" t="s">
        <v>276</v>
      </c>
      <c r="E76" s="1" t="s">
        <v>19</v>
      </c>
      <c r="F76" s="1" t="s">
        <v>73</v>
      </c>
      <c r="G76" s="1" t="s">
        <v>277</v>
      </c>
      <c r="H76" s="1" t="s">
        <v>32</v>
      </c>
      <c r="I76" s="1">
        <v>621698</v>
      </c>
      <c r="J76" s="3" t="s">
        <v>263</v>
      </c>
      <c r="K76" s="3" t="s">
        <v>278</v>
      </c>
      <c r="L76" s="1">
        <v>13794</v>
      </c>
      <c r="M76" s="1" t="s">
        <v>279</v>
      </c>
      <c r="N76" s="1" t="s">
        <v>280</v>
      </c>
      <c r="O76" s="1" t="s">
        <v>14</v>
      </c>
      <c r="P76" s="1" t="s">
        <v>289</v>
      </c>
    </row>
    <row r="77" spans="1:16" ht="13.2" x14ac:dyDescent="0.25">
      <c r="A77" s="1" t="s">
        <v>16</v>
      </c>
      <c r="B77" s="2" t="str">
        <f t="shared" si="5"/>
        <v>SUMIN/ABR/2024000113</v>
      </c>
      <c r="C77" s="3" t="s">
        <v>155</v>
      </c>
      <c r="D77" s="1" t="s">
        <v>276</v>
      </c>
      <c r="E77" s="1" t="s">
        <v>19</v>
      </c>
      <c r="F77" s="1" t="s">
        <v>73</v>
      </c>
      <c r="G77" s="1" t="s">
        <v>277</v>
      </c>
      <c r="H77" s="1" t="s">
        <v>32</v>
      </c>
      <c r="I77" s="1">
        <v>621698</v>
      </c>
      <c r="J77" s="3" t="s">
        <v>263</v>
      </c>
      <c r="K77" s="3" t="s">
        <v>278</v>
      </c>
      <c r="L77" s="1">
        <v>117975</v>
      </c>
      <c r="M77" s="1" t="s">
        <v>279</v>
      </c>
      <c r="N77" s="1" t="s">
        <v>280</v>
      </c>
      <c r="O77" s="1" t="s">
        <v>14</v>
      </c>
      <c r="P77" s="1" t="s">
        <v>290</v>
      </c>
    </row>
    <row r="78" spans="1:16" ht="13.2" x14ac:dyDescent="0.25">
      <c r="A78" s="1" t="s">
        <v>16</v>
      </c>
      <c r="B78" s="2" t="str">
        <f t="shared" si="5"/>
        <v>SUMIN/ABR/2024000113</v>
      </c>
      <c r="C78" s="3" t="s">
        <v>291</v>
      </c>
      <c r="D78" s="1" t="s">
        <v>276</v>
      </c>
      <c r="E78" s="1" t="s">
        <v>19</v>
      </c>
      <c r="F78" s="1" t="s">
        <v>73</v>
      </c>
      <c r="G78" s="1" t="s">
        <v>277</v>
      </c>
      <c r="H78" s="1" t="s">
        <v>32</v>
      </c>
      <c r="I78" s="1">
        <v>621698</v>
      </c>
      <c r="J78" s="3" t="s">
        <v>263</v>
      </c>
      <c r="K78" s="3" t="s">
        <v>166</v>
      </c>
      <c r="L78" s="1">
        <v>21780</v>
      </c>
      <c r="M78" s="1" t="s">
        <v>292</v>
      </c>
      <c r="N78" s="1" t="s">
        <v>293</v>
      </c>
      <c r="O78" s="1" t="s">
        <v>14</v>
      </c>
      <c r="P78" s="1" t="s">
        <v>294</v>
      </c>
    </row>
    <row r="79" spans="1:16" ht="13.2" x14ac:dyDescent="0.25">
      <c r="A79" s="1" t="s">
        <v>16</v>
      </c>
      <c r="B79" s="2" t="str">
        <f t="shared" si="5"/>
        <v>SUMIN/ABR/2024000113</v>
      </c>
      <c r="C79" s="3" t="s">
        <v>295</v>
      </c>
      <c r="D79" s="1" t="s">
        <v>276</v>
      </c>
      <c r="E79" s="1" t="s">
        <v>19</v>
      </c>
      <c r="F79" s="1" t="s">
        <v>73</v>
      </c>
      <c r="G79" s="1" t="s">
        <v>277</v>
      </c>
      <c r="H79" s="1" t="s">
        <v>32</v>
      </c>
      <c r="I79" s="1">
        <v>621698</v>
      </c>
      <c r="J79" s="3" t="s">
        <v>263</v>
      </c>
      <c r="K79" s="3" t="s">
        <v>166</v>
      </c>
      <c r="L79" s="1">
        <v>21780</v>
      </c>
      <c r="M79" s="1" t="s">
        <v>292</v>
      </c>
      <c r="N79" s="1" t="s">
        <v>293</v>
      </c>
      <c r="O79" s="1" t="s">
        <v>14</v>
      </c>
      <c r="P79" s="1" t="s">
        <v>296</v>
      </c>
    </row>
    <row r="80" spans="1:16" ht="13.2" x14ac:dyDescent="0.25">
      <c r="A80" s="1" t="s">
        <v>16</v>
      </c>
      <c r="B80" s="2" t="str">
        <f t="shared" si="5"/>
        <v>SUMIN/ABR/2024000113</v>
      </c>
      <c r="C80" s="3" t="s">
        <v>249</v>
      </c>
      <c r="D80" s="1" t="s">
        <v>276</v>
      </c>
      <c r="E80" s="1" t="s">
        <v>19</v>
      </c>
      <c r="F80" s="1" t="s">
        <v>73</v>
      </c>
      <c r="G80" s="1" t="s">
        <v>277</v>
      </c>
      <c r="H80" s="1" t="s">
        <v>32</v>
      </c>
      <c r="I80" s="1">
        <v>621698</v>
      </c>
      <c r="J80" s="3" t="s">
        <v>263</v>
      </c>
      <c r="K80" s="3" t="s">
        <v>166</v>
      </c>
      <c r="L80" s="1">
        <v>21780</v>
      </c>
      <c r="M80" s="1" t="s">
        <v>292</v>
      </c>
      <c r="N80" s="1" t="s">
        <v>293</v>
      </c>
      <c r="O80" s="1" t="s">
        <v>14</v>
      </c>
      <c r="P80" s="1" t="s">
        <v>297</v>
      </c>
    </row>
    <row r="81" spans="1:16" ht="13.2" x14ac:dyDescent="0.25">
      <c r="A81" s="1" t="s">
        <v>16</v>
      </c>
      <c r="B81" s="2" t="str">
        <f t="shared" ref="B81:B94" si="6">HYPERLINK("https://www.google.com/url?q=https%3A%2F%2Fcontrataciondelestado.es%2Fwps%2Fpoc%3Furi%3Ddeeplink%3Adetalle_licitacion%26idEvl%3DcKKtRayBeYn5Rey58Yagpg%253D%253D", "SUMIN/ABR/2024000094")</f>
        <v>SUMIN/ABR/2024000094</v>
      </c>
      <c r="C81" s="3" t="s">
        <v>291</v>
      </c>
      <c r="D81" s="1" t="s">
        <v>298</v>
      </c>
      <c r="E81" s="1" t="s">
        <v>19</v>
      </c>
      <c r="F81" s="1" t="s">
        <v>73</v>
      </c>
      <c r="G81" s="1" t="s">
        <v>74</v>
      </c>
      <c r="H81" s="1" t="s">
        <v>48</v>
      </c>
      <c r="I81" s="1">
        <v>1096527.97</v>
      </c>
      <c r="J81" s="3" t="s">
        <v>299</v>
      </c>
      <c r="K81" s="1" t="s">
        <v>24</v>
      </c>
      <c r="L81" s="1">
        <v>0</v>
      </c>
      <c r="M81" s="1" t="s">
        <v>50</v>
      </c>
      <c r="N81" s="1" t="s">
        <v>51</v>
      </c>
      <c r="O81" s="1" t="s">
        <v>52</v>
      </c>
      <c r="P81" s="1" t="s">
        <v>300</v>
      </c>
    </row>
    <row r="82" spans="1:16" ht="13.2" x14ac:dyDescent="0.25">
      <c r="A82" s="1" t="s">
        <v>16</v>
      </c>
      <c r="B82" s="2" t="str">
        <f t="shared" si="6"/>
        <v>SUMIN/ABR/2024000094</v>
      </c>
      <c r="C82" s="3" t="s">
        <v>295</v>
      </c>
      <c r="D82" s="1" t="s">
        <v>298</v>
      </c>
      <c r="E82" s="1" t="s">
        <v>19</v>
      </c>
      <c r="F82" s="1" t="s">
        <v>73</v>
      </c>
      <c r="G82" s="1" t="s">
        <v>74</v>
      </c>
      <c r="H82" s="1" t="s">
        <v>48</v>
      </c>
      <c r="I82" s="1">
        <v>1096527.97</v>
      </c>
      <c r="J82" s="3" t="s">
        <v>299</v>
      </c>
      <c r="K82" s="1" t="s">
        <v>24</v>
      </c>
      <c r="L82" s="1">
        <v>0</v>
      </c>
      <c r="M82" s="1" t="s">
        <v>50</v>
      </c>
      <c r="N82" s="1" t="s">
        <v>51</v>
      </c>
      <c r="O82" s="1" t="s">
        <v>52</v>
      </c>
      <c r="P82" s="1" t="s">
        <v>301</v>
      </c>
    </row>
    <row r="83" spans="1:16" ht="13.2" x14ac:dyDescent="0.25">
      <c r="A83" s="1" t="s">
        <v>16</v>
      </c>
      <c r="B83" s="2" t="str">
        <f t="shared" si="6"/>
        <v>SUMIN/ABR/2024000094</v>
      </c>
      <c r="C83" s="3" t="s">
        <v>249</v>
      </c>
      <c r="D83" s="1" t="s">
        <v>298</v>
      </c>
      <c r="E83" s="1" t="s">
        <v>19</v>
      </c>
      <c r="F83" s="1" t="s">
        <v>73</v>
      </c>
      <c r="G83" s="1" t="s">
        <v>74</v>
      </c>
      <c r="H83" s="1" t="s">
        <v>48</v>
      </c>
      <c r="I83" s="1">
        <v>1096527.97</v>
      </c>
      <c r="J83" s="3" t="s">
        <v>299</v>
      </c>
      <c r="K83" s="1" t="s">
        <v>24</v>
      </c>
      <c r="L83" s="1">
        <v>0</v>
      </c>
      <c r="M83" s="1" t="s">
        <v>50</v>
      </c>
      <c r="N83" s="1" t="s">
        <v>51</v>
      </c>
      <c r="O83" s="1" t="s">
        <v>52</v>
      </c>
      <c r="P83" s="1" t="s">
        <v>302</v>
      </c>
    </row>
    <row r="84" spans="1:16" ht="13.2" x14ac:dyDescent="0.25">
      <c r="A84" s="1" t="s">
        <v>16</v>
      </c>
      <c r="B84" s="2" t="str">
        <f t="shared" si="6"/>
        <v>SUMIN/ABR/2024000094</v>
      </c>
      <c r="C84" s="3" t="s">
        <v>153</v>
      </c>
      <c r="D84" s="1" t="s">
        <v>298</v>
      </c>
      <c r="E84" s="1" t="s">
        <v>19</v>
      </c>
      <c r="F84" s="1" t="s">
        <v>73</v>
      </c>
      <c r="G84" s="1" t="s">
        <v>74</v>
      </c>
      <c r="H84" s="1" t="s">
        <v>48</v>
      </c>
      <c r="I84" s="1">
        <v>1096527.97</v>
      </c>
      <c r="J84" s="3" t="s">
        <v>299</v>
      </c>
      <c r="K84" s="1" t="s">
        <v>24</v>
      </c>
      <c r="L84" s="1">
        <v>0</v>
      </c>
      <c r="M84" s="1" t="s">
        <v>50</v>
      </c>
      <c r="N84" s="1" t="s">
        <v>51</v>
      </c>
      <c r="O84" s="1" t="s">
        <v>52</v>
      </c>
      <c r="P84" s="1" t="s">
        <v>303</v>
      </c>
    </row>
    <row r="85" spans="1:16" ht="13.2" x14ac:dyDescent="0.25">
      <c r="A85" s="1" t="s">
        <v>16</v>
      </c>
      <c r="B85" s="2" t="str">
        <f t="shared" si="6"/>
        <v>SUMIN/ABR/2024000094</v>
      </c>
      <c r="C85" s="3" t="s">
        <v>144</v>
      </c>
      <c r="D85" s="1" t="s">
        <v>298</v>
      </c>
      <c r="E85" s="1" t="s">
        <v>19</v>
      </c>
      <c r="F85" s="1" t="s">
        <v>73</v>
      </c>
      <c r="G85" s="1" t="s">
        <v>74</v>
      </c>
      <c r="H85" s="1" t="s">
        <v>48</v>
      </c>
      <c r="I85" s="1">
        <v>1096527.97</v>
      </c>
      <c r="J85" s="3" t="s">
        <v>299</v>
      </c>
      <c r="K85" s="1" t="s">
        <v>24</v>
      </c>
      <c r="L85" s="1">
        <v>0</v>
      </c>
      <c r="M85" s="1" t="s">
        <v>50</v>
      </c>
      <c r="N85" s="1" t="s">
        <v>51</v>
      </c>
      <c r="O85" s="1" t="s">
        <v>52</v>
      </c>
      <c r="P85" s="1" t="s">
        <v>304</v>
      </c>
    </row>
    <row r="86" spans="1:16" ht="13.2" x14ac:dyDescent="0.25">
      <c r="A86" s="1" t="s">
        <v>16</v>
      </c>
      <c r="B86" s="2" t="str">
        <f t="shared" si="6"/>
        <v>SUMIN/ABR/2024000094</v>
      </c>
      <c r="C86" s="3" t="s">
        <v>305</v>
      </c>
      <c r="D86" s="1" t="s">
        <v>298</v>
      </c>
      <c r="E86" s="1" t="s">
        <v>19</v>
      </c>
      <c r="F86" s="1" t="s">
        <v>73</v>
      </c>
      <c r="G86" s="1" t="s">
        <v>74</v>
      </c>
      <c r="H86" s="1" t="s">
        <v>48</v>
      </c>
      <c r="I86" s="1">
        <v>1096527.97</v>
      </c>
      <c r="J86" s="3" t="s">
        <v>299</v>
      </c>
      <c r="K86" s="1" t="s">
        <v>24</v>
      </c>
      <c r="L86" s="1">
        <v>0</v>
      </c>
      <c r="M86" s="1" t="s">
        <v>50</v>
      </c>
      <c r="N86" s="1" t="s">
        <v>51</v>
      </c>
      <c r="O86" s="1" t="s">
        <v>52</v>
      </c>
      <c r="P86" s="1" t="s">
        <v>306</v>
      </c>
    </row>
    <row r="87" spans="1:16" ht="13.2" x14ac:dyDescent="0.25">
      <c r="A87" s="1" t="s">
        <v>16</v>
      </c>
      <c r="B87" s="2" t="str">
        <f t="shared" si="6"/>
        <v>SUMIN/ABR/2024000094</v>
      </c>
      <c r="C87" s="3" t="s">
        <v>307</v>
      </c>
      <c r="D87" s="1" t="s">
        <v>298</v>
      </c>
      <c r="E87" s="1" t="s">
        <v>19</v>
      </c>
      <c r="F87" s="1" t="s">
        <v>73</v>
      </c>
      <c r="G87" s="1" t="s">
        <v>74</v>
      </c>
      <c r="H87" s="1" t="s">
        <v>48</v>
      </c>
      <c r="I87" s="1">
        <v>1096527.97</v>
      </c>
      <c r="J87" s="3" t="s">
        <v>299</v>
      </c>
      <c r="K87" s="1" t="s">
        <v>24</v>
      </c>
      <c r="L87" s="1">
        <v>0</v>
      </c>
      <c r="M87" s="1" t="s">
        <v>50</v>
      </c>
      <c r="N87" s="1" t="s">
        <v>51</v>
      </c>
      <c r="O87" s="1" t="s">
        <v>52</v>
      </c>
      <c r="P87" s="1" t="s">
        <v>308</v>
      </c>
    </row>
    <row r="88" spans="1:16" ht="13.2" x14ac:dyDescent="0.25">
      <c r="A88" s="1" t="s">
        <v>16</v>
      </c>
      <c r="B88" s="2" t="str">
        <f t="shared" si="6"/>
        <v>SUMIN/ABR/2024000094</v>
      </c>
      <c r="C88" s="3" t="s">
        <v>309</v>
      </c>
      <c r="D88" s="1" t="s">
        <v>298</v>
      </c>
      <c r="E88" s="1" t="s">
        <v>19</v>
      </c>
      <c r="F88" s="1" t="s">
        <v>73</v>
      </c>
      <c r="G88" s="1" t="s">
        <v>74</v>
      </c>
      <c r="H88" s="1" t="s">
        <v>48</v>
      </c>
      <c r="I88" s="1">
        <v>1096527.97</v>
      </c>
      <c r="J88" s="3" t="s">
        <v>299</v>
      </c>
      <c r="K88" s="1" t="s">
        <v>24</v>
      </c>
      <c r="L88" s="1">
        <v>0</v>
      </c>
      <c r="M88" s="1" t="s">
        <v>50</v>
      </c>
      <c r="N88" s="1" t="s">
        <v>51</v>
      </c>
      <c r="O88" s="1" t="s">
        <v>52</v>
      </c>
      <c r="P88" s="1" t="s">
        <v>310</v>
      </c>
    </row>
    <row r="89" spans="1:16" ht="13.2" x14ac:dyDescent="0.25">
      <c r="A89" s="1" t="s">
        <v>16</v>
      </c>
      <c r="B89" s="2" t="str">
        <f t="shared" si="6"/>
        <v>SUMIN/ABR/2024000094</v>
      </c>
      <c r="C89" s="3" t="s">
        <v>311</v>
      </c>
      <c r="D89" s="1" t="s">
        <v>298</v>
      </c>
      <c r="E89" s="1" t="s">
        <v>19</v>
      </c>
      <c r="F89" s="1" t="s">
        <v>73</v>
      </c>
      <c r="G89" s="1" t="s">
        <v>74</v>
      </c>
      <c r="H89" s="1" t="s">
        <v>48</v>
      </c>
      <c r="I89" s="1">
        <v>1096527.97</v>
      </c>
      <c r="J89" s="3" t="s">
        <v>299</v>
      </c>
      <c r="K89" s="1" t="s">
        <v>24</v>
      </c>
      <c r="L89" s="1">
        <v>0</v>
      </c>
      <c r="M89" s="1" t="s">
        <v>50</v>
      </c>
      <c r="N89" s="1" t="s">
        <v>51</v>
      </c>
      <c r="O89" s="1" t="s">
        <v>52</v>
      </c>
      <c r="P89" s="1" t="s">
        <v>312</v>
      </c>
    </row>
    <row r="90" spans="1:16" ht="13.2" x14ac:dyDescent="0.25">
      <c r="A90" s="1" t="s">
        <v>16</v>
      </c>
      <c r="B90" s="2" t="str">
        <f t="shared" si="6"/>
        <v>SUMIN/ABR/2024000094</v>
      </c>
      <c r="C90" s="3" t="s">
        <v>286</v>
      </c>
      <c r="D90" s="1" t="s">
        <v>298</v>
      </c>
      <c r="E90" s="1" t="s">
        <v>19</v>
      </c>
      <c r="F90" s="1" t="s">
        <v>73</v>
      </c>
      <c r="G90" s="1" t="s">
        <v>74</v>
      </c>
      <c r="H90" s="1" t="s">
        <v>48</v>
      </c>
      <c r="I90" s="1">
        <v>1096527.97</v>
      </c>
      <c r="J90" s="3" t="s">
        <v>299</v>
      </c>
      <c r="K90" s="1" t="s">
        <v>24</v>
      </c>
      <c r="L90" s="1">
        <v>0</v>
      </c>
      <c r="M90" s="1" t="s">
        <v>50</v>
      </c>
      <c r="N90" s="1" t="s">
        <v>51</v>
      </c>
      <c r="O90" s="1" t="s">
        <v>52</v>
      </c>
      <c r="P90" s="1" t="s">
        <v>313</v>
      </c>
    </row>
    <row r="91" spans="1:16" ht="13.2" x14ac:dyDescent="0.25">
      <c r="A91" s="1" t="s">
        <v>16</v>
      </c>
      <c r="B91" s="2" t="str">
        <f t="shared" si="6"/>
        <v>SUMIN/ABR/2024000094</v>
      </c>
      <c r="C91" s="3" t="s">
        <v>288</v>
      </c>
      <c r="D91" s="1" t="s">
        <v>298</v>
      </c>
      <c r="E91" s="1" t="s">
        <v>19</v>
      </c>
      <c r="F91" s="1" t="s">
        <v>73</v>
      </c>
      <c r="G91" s="1" t="s">
        <v>74</v>
      </c>
      <c r="H91" s="1" t="s">
        <v>48</v>
      </c>
      <c r="I91" s="1">
        <v>1096527.97</v>
      </c>
      <c r="J91" s="3" t="s">
        <v>299</v>
      </c>
      <c r="K91" s="1" t="s">
        <v>24</v>
      </c>
      <c r="L91" s="1">
        <v>0</v>
      </c>
      <c r="M91" s="1" t="s">
        <v>50</v>
      </c>
      <c r="N91" s="1" t="s">
        <v>51</v>
      </c>
      <c r="O91" s="1" t="s">
        <v>52</v>
      </c>
      <c r="P91" s="1" t="s">
        <v>314</v>
      </c>
    </row>
    <row r="92" spans="1:16" ht="13.2" x14ac:dyDescent="0.25">
      <c r="A92" s="1" t="s">
        <v>16</v>
      </c>
      <c r="B92" s="2" t="str">
        <f t="shared" si="6"/>
        <v>SUMIN/ABR/2024000094</v>
      </c>
      <c r="C92" s="3" t="s">
        <v>155</v>
      </c>
      <c r="D92" s="1" t="s">
        <v>298</v>
      </c>
      <c r="E92" s="1" t="s">
        <v>19</v>
      </c>
      <c r="F92" s="1" t="s">
        <v>73</v>
      </c>
      <c r="G92" s="1" t="s">
        <v>74</v>
      </c>
      <c r="H92" s="1" t="s">
        <v>48</v>
      </c>
      <c r="I92" s="1">
        <v>1096527.97</v>
      </c>
      <c r="J92" s="3" t="s">
        <v>299</v>
      </c>
      <c r="K92" s="1" t="s">
        <v>24</v>
      </c>
      <c r="L92" s="1">
        <v>0</v>
      </c>
      <c r="M92" s="1" t="s">
        <v>50</v>
      </c>
      <c r="N92" s="1" t="s">
        <v>51</v>
      </c>
      <c r="O92" s="1" t="s">
        <v>52</v>
      </c>
      <c r="P92" s="1" t="s">
        <v>315</v>
      </c>
    </row>
    <row r="93" spans="1:16" ht="13.2" x14ac:dyDescent="0.25">
      <c r="A93" s="1" t="s">
        <v>16</v>
      </c>
      <c r="B93" s="2" t="str">
        <f t="shared" si="6"/>
        <v>SUMIN/ABR/2024000094</v>
      </c>
      <c r="C93" s="3" t="s">
        <v>236</v>
      </c>
      <c r="D93" s="1" t="s">
        <v>298</v>
      </c>
      <c r="E93" s="1" t="s">
        <v>19</v>
      </c>
      <c r="F93" s="1" t="s">
        <v>73</v>
      </c>
      <c r="G93" s="1" t="s">
        <v>74</v>
      </c>
      <c r="H93" s="1" t="s">
        <v>32</v>
      </c>
      <c r="I93" s="1">
        <v>1096527.97</v>
      </c>
      <c r="J93" s="3" t="s">
        <v>299</v>
      </c>
      <c r="K93" s="3" t="s">
        <v>202</v>
      </c>
      <c r="L93" s="1">
        <v>24001</v>
      </c>
      <c r="M93" s="1" t="s">
        <v>316</v>
      </c>
      <c r="N93" s="1" t="s">
        <v>317</v>
      </c>
      <c r="O93" s="1" t="s">
        <v>14</v>
      </c>
      <c r="P93" s="1" t="s">
        <v>318</v>
      </c>
    </row>
    <row r="94" spans="1:16" ht="13.2" x14ac:dyDescent="0.25">
      <c r="A94" s="1" t="s">
        <v>16</v>
      </c>
      <c r="B94" s="2" t="str">
        <f t="shared" si="6"/>
        <v>SUMIN/ABR/2024000094</v>
      </c>
      <c r="C94" s="3" t="s">
        <v>151</v>
      </c>
      <c r="D94" s="1" t="s">
        <v>298</v>
      </c>
      <c r="E94" s="1" t="s">
        <v>19</v>
      </c>
      <c r="F94" s="1" t="s">
        <v>73</v>
      </c>
      <c r="G94" s="1" t="s">
        <v>74</v>
      </c>
      <c r="H94" s="1" t="s">
        <v>32</v>
      </c>
      <c r="I94" s="1">
        <v>1096527.97</v>
      </c>
      <c r="J94" s="3" t="s">
        <v>299</v>
      </c>
      <c r="K94" s="3" t="s">
        <v>319</v>
      </c>
      <c r="L94" s="1">
        <v>29890</v>
      </c>
      <c r="M94" s="1" t="s">
        <v>320</v>
      </c>
      <c r="N94" s="1" t="s">
        <v>321</v>
      </c>
      <c r="O94" s="1" t="s">
        <v>14</v>
      </c>
      <c r="P94" s="1" t="s">
        <v>322</v>
      </c>
    </row>
    <row r="95" spans="1:16" ht="13.2" x14ac:dyDescent="0.25">
      <c r="A95" s="1" t="s">
        <v>16</v>
      </c>
      <c r="B95" s="2" t="str">
        <f>HYPERLINK("https://www.google.com/url?q=https%3A%2F%2Fcontrataciondelestado.es%2Fwps%2Fpoc%3Furi%3Ddeeplink%3Adetalle_licitacion%26idEvl%3Dp6ZB5qT9S7Hs%252BnLj3vAg5A%253D%253D", "SUMIN/ABR/2024000126")</f>
        <v>SUMIN/ABR/2024000126</v>
      </c>
      <c r="C95" s="1" t="s">
        <v>17</v>
      </c>
      <c r="D95" s="1" t="s">
        <v>323</v>
      </c>
      <c r="E95" s="1" t="s">
        <v>19</v>
      </c>
      <c r="F95" s="1" t="s">
        <v>73</v>
      </c>
      <c r="G95" s="1" t="s">
        <v>262</v>
      </c>
      <c r="H95" s="1" t="s">
        <v>32</v>
      </c>
      <c r="I95" s="1">
        <v>47000</v>
      </c>
      <c r="J95" s="3" t="s">
        <v>299</v>
      </c>
      <c r="K95" s="3" t="s">
        <v>324</v>
      </c>
      <c r="L95" s="1">
        <v>46585</v>
      </c>
      <c r="M95" s="1" t="s">
        <v>325</v>
      </c>
      <c r="N95" s="1" t="s">
        <v>326</v>
      </c>
      <c r="O95" s="1" t="s">
        <v>14</v>
      </c>
      <c r="P95" s="1" t="s">
        <v>27</v>
      </c>
    </row>
    <row r="96" spans="1:16" ht="13.2" x14ac:dyDescent="0.25">
      <c r="A96" s="1" t="s">
        <v>16</v>
      </c>
      <c r="B96" s="2" t="str">
        <f>HYPERLINK("https://www.google.com/url?q=https%3A%2F%2Fcontrataciondelestado.es%2Fwps%2Fpoc%3Furi%3Ddeeplink%3Adetalle_licitacion%26idEvl%3DcKKtRayBeYn5Rey58Yagpg%253D%253D", "SUMIN/ABR/2024000094")</f>
        <v>SUMIN/ABR/2024000094</v>
      </c>
      <c r="C96" s="3" t="s">
        <v>157</v>
      </c>
      <c r="D96" s="1" t="s">
        <v>298</v>
      </c>
      <c r="E96" s="1" t="s">
        <v>19</v>
      </c>
      <c r="F96" s="1" t="s">
        <v>73</v>
      </c>
      <c r="G96" s="1" t="s">
        <v>74</v>
      </c>
      <c r="H96" s="1" t="s">
        <v>32</v>
      </c>
      <c r="I96" s="1">
        <v>1096527.97</v>
      </c>
      <c r="J96" s="3" t="s">
        <v>299</v>
      </c>
      <c r="K96" s="3" t="s">
        <v>327</v>
      </c>
      <c r="L96" s="1">
        <v>174484</v>
      </c>
      <c r="M96" s="1" t="s">
        <v>328</v>
      </c>
      <c r="N96" s="1" t="s">
        <v>329</v>
      </c>
      <c r="O96" s="1" t="s">
        <v>14</v>
      </c>
      <c r="P96" s="1" t="s">
        <v>330</v>
      </c>
    </row>
    <row r="97" spans="1:16" ht="13.2" x14ac:dyDescent="0.25">
      <c r="A97" s="1" t="s">
        <v>16</v>
      </c>
      <c r="B97" s="2" t="str">
        <f>HYPERLINK("https://www.google.com/url?q=https%3A%2F%2Fcontrataciondelestado.es%2Fwps%2Fpoc%3Furi%3Ddeeplink%3Adetalle_licitacion%26idEvl%3DDzTkiW12rpQ3vLk2DU2Ddg%253D%253D", "SERV/ABR/2024000122")</f>
        <v>SERV/ABR/2024000122</v>
      </c>
      <c r="C97" s="1" t="s">
        <v>17</v>
      </c>
      <c r="D97" s="1" t="s">
        <v>331</v>
      </c>
      <c r="E97" s="1" t="s">
        <v>19</v>
      </c>
      <c r="F97" s="1" t="s">
        <v>20</v>
      </c>
      <c r="G97" s="1" t="s">
        <v>220</v>
      </c>
      <c r="H97" s="1" t="s">
        <v>32</v>
      </c>
      <c r="I97" s="1">
        <v>30000</v>
      </c>
      <c r="J97" s="3" t="s">
        <v>332</v>
      </c>
      <c r="K97" s="3" t="s">
        <v>333</v>
      </c>
      <c r="L97" s="1">
        <v>25376.12</v>
      </c>
      <c r="M97" s="1" t="s">
        <v>334</v>
      </c>
      <c r="N97" s="1" t="s">
        <v>335</v>
      </c>
      <c r="O97" s="1" t="s">
        <v>14</v>
      </c>
      <c r="P97" s="1" t="s">
        <v>27</v>
      </c>
    </row>
  </sheetData>
  <autoFilter ref="A2:P2" xr:uid="{00000000-0001-0000-0000-00000000000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Martínez De Anta</dc:creator>
  <cp:lastModifiedBy>Javier Martínez De Anta</cp:lastModifiedBy>
  <dcterms:created xsi:type="dcterms:W3CDTF">2025-07-01T13:10:21Z</dcterms:created>
  <dcterms:modified xsi:type="dcterms:W3CDTF">2025-07-03T11:47:44Z</dcterms:modified>
</cp:coreProperties>
</file>